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Christos. Petrou\Desktop\Pavlos\"/>
    </mc:Choice>
  </mc:AlternateContent>
  <xr:revisionPtr revIDLastSave="0" documentId="13_ncr:1_{E71611A5-2840-4E44-BD98-7C6D6F74DB40}" xr6:coauthVersionLast="45" xr6:coauthVersionMax="45" xr10:uidLastSave="{00000000-0000-0000-0000-000000000000}"/>
  <bookViews>
    <workbookView xWindow="29235" yWindow="3225" windowWidth="26850" windowHeight="11130" xr2:uid="{00000000-000D-0000-FFFF-FFFF00000000}"/>
  </bookViews>
  <sheets>
    <sheet name="Master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44" i="1" l="1"/>
  <c r="C944" i="1"/>
  <c r="B944" i="1"/>
  <c r="E944" i="1"/>
  <c r="D885" i="1"/>
  <c r="C885" i="1"/>
  <c r="B885" i="1"/>
  <c r="E885" i="1"/>
  <c r="D877" i="1"/>
  <c r="C877" i="1"/>
  <c r="B877" i="1"/>
  <c r="E877" i="1"/>
  <c r="D837" i="1"/>
  <c r="C837" i="1"/>
  <c r="B837" i="1"/>
  <c r="E837" i="1"/>
  <c r="D830" i="1"/>
  <c r="C830" i="1"/>
  <c r="B830" i="1"/>
  <c r="E830" i="1"/>
  <c r="D825" i="1"/>
  <c r="C825" i="1"/>
  <c r="B825" i="1"/>
  <c r="E825" i="1"/>
  <c r="D819" i="1"/>
  <c r="C819" i="1"/>
  <c r="B819" i="1"/>
  <c r="E819" i="1"/>
  <c r="D807" i="1"/>
  <c r="C807" i="1"/>
  <c r="B807" i="1"/>
  <c r="E807" i="1"/>
  <c r="D784" i="1"/>
  <c r="C784" i="1"/>
  <c r="B784" i="1"/>
  <c r="E784" i="1"/>
  <c r="D746" i="1"/>
  <c r="C746" i="1"/>
  <c r="B746" i="1"/>
  <c r="E746" i="1"/>
  <c r="D726" i="1"/>
  <c r="C726" i="1"/>
  <c r="B726" i="1"/>
  <c r="E726" i="1"/>
  <c r="D692" i="1"/>
  <c r="C692" i="1"/>
  <c r="B692" i="1"/>
  <c r="E692" i="1"/>
  <c r="D664" i="1"/>
  <c r="C664" i="1"/>
  <c r="B664" i="1"/>
  <c r="E664" i="1"/>
  <c r="D656" i="1"/>
  <c r="C656" i="1"/>
  <c r="B656" i="1"/>
  <c r="E656" i="1"/>
  <c r="D639" i="1"/>
  <c r="C639" i="1"/>
  <c r="B639" i="1"/>
  <c r="E639" i="1"/>
  <c r="D628" i="1"/>
  <c r="C628" i="1"/>
  <c r="B628" i="1"/>
  <c r="E628" i="1"/>
  <c r="D619" i="1"/>
  <c r="C619" i="1"/>
  <c r="B619" i="1"/>
  <c r="E619" i="1"/>
  <c r="D610" i="1"/>
  <c r="C610" i="1"/>
  <c r="B610" i="1"/>
  <c r="E610" i="1"/>
  <c r="D601" i="1"/>
  <c r="C601" i="1"/>
  <c r="B601" i="1"/>
  <c r="E601" i="1"/>
  <c r="D592" i="1"/>
  <c r="C592" i="1"/>
  <c r="B592" i="1"/>
  <c r="E592" i="1"/>
  <c r="D583" i="1"/>
  <c r="C583" i="1"/>
  <c r="B583" i="1"/>
  <c r="E583" i="1"/>
  <c r="D574" i="1"/>
  <c r="C574" i="1"/>
  <c r="B574" i="1"/>
  <c r="E574" i="1"/>
  <c r="D565" i="1"/>
  <c r="C565" i="1"/>
  <c r="B565" i="1"/>
  <c r="E565" i="1"/>
  <c r="D541" i="1"/>
  <c r="C541" i="1"/>
  <c r="B541" i="1"/>
  <c r="E541" i="1"/>
  <c r="D556" i="1"/>
  <c r="C556" i="1"/>
  <c r="B556" i="1"/>
  <c r="E556" i="1"/>
  <c r="D532" i="1"/>
  <c r="C532" i="1"/>
  <c r="B532" i="1"/>
  <c r="E532" i="1"/>
  <c r="D523" i="1"/>
  <c r="C523" i="1"/>
  <c r="B523" i="1"/>
  <c r="E523" i="1"/>
  <c r="D514" i="1"/>
  <c r="C514" i="1"/>
  <c r="B514" i="1"/>
  <c r="E514" i="1"/>
  <c r="D505" i="1"/>
  <c r="C505" i="1"/>
  <c r="B505" i="1"/>
  <c r="E505" i="1"/>
  <c r="D496" i="1"/>
  <c r="C496" i="1"/>
  <c r="B496" i="1"/>
  <c r="E496" i="1"/>
  <c r="D487" i="1"/>
  <c r="C487" i="1"/>
  <c r="B487" i="1"/>
  <c r="E487" i="1"/>
  <c r="D478" i="1"/>
  <c r="C478" i="1"/>
  <c r="B478" i="1"/>
  <c r="E478" i="1"/>
  <c r="D469" i="1"/>
  <c r="C469" i="1"/>
  <c r="B469" i="1"/>
  <c r="E469" i="1"/>
  <c r="D460" i="1"/>
  <c r="C460" i="1"/>
  <c r="B460" i="1"/>
  <c r="E460" i="1"/>
  <c r="D451" i="1"/>
  <c r="C451" i="1"/>
  <c r="B451" i="1"/>
  <c r="E451" i="1"/>
  <c r="D443" i="1"/>
  <c r="C443" i="1"/>
  <c r="B443" i="1"/>
  <c r="E443" i="1"/>
  <c r="D434" i="1"/>
  <c r="C434" i="1"/>
  <c r="B434" i="1"/>
  <c r="E434" i="1"/>
  <c r="B425" i="1"/>
  <c r="C425" i="1"/>
  <c r="D425" i="1"/>
  <c r="E425" i="1"/>
  <c r="D416" i="1"/>
  <c r="C416" i="1"/>
  <c r="B416" i="1"/>
  <c r="E416" i="1"/>
  <c r="D407" i="1"/>
  <c r="C407" i="1"/>
  <c r="B407" i="1"/>
  <c r="E407" i="1"/>
  <c r="D398" i="1"/>
  <c r="C398" i="1"/>
  <c r="B398" i="1"/>
  <c r="E398" i="1"/>
  <c r="D389" i="1"/>
  <c r="C389" i="1"/>
  <c r="B389" i="1"/>
  <c r="E389" i="1"/>
  <c r="D379" i="1"/>
  <c r="C379" i="1"/>
  <c r="B379" i="1"/>
  <c r="E379" i="1"/>
  <c r="D370" i="1"/>
  <c r="C370" i="1"/>
  <c r="B370" i="1"/>
  <c r="E370" i="1"/>
  <c r="D361" i="1"/>
  <c r="C361" i="1"/>
  <c r="B361" i="1"/>
  <c r="E361" i="1"/>
  <c r="D352" i="1"/>
  <c r="C352" i="1"/>
  <c r="B352" i="1"/>
  <c r="E352" i="1"/>
  <c r="D343" i="1"/>
  <c r="C343" i="1"/>
  <c r="B343" i="1"/>
  <c r="E343" i="1"/>
  <c r="D334" i="1"/>
  <c r="C334" i="1"/>
  <c r="B334" i="1"/>
  <c r="E334" i="1"/>
  <c r="C325" i="1"/>
  <c r="B325" i="1"/>
  <c r="E325" i="1"/>
  <c r="D316" i="1"/>
  <c r="C316" i="1"/>
  <c r="B316" i="1"/>
  <c r="E316" i="1"/>
  <c r="D307" i="1"/>
  <c r="C307" i="1"/>
  <c r="B307" i="1"/>
  <c r="E307" i="1"/>
  <c r="D298" i="1"/>
  <c r="C298" i="1"/>
  <c r="B298" i="1"/>
  <c r="E298" i="1"/>
  <c r="D289" i="1"/>
  <c r="C289" i="1"/>
  <c r="B289" i="1"/>
  <c r="E289" i="1"/>
  <c r="D280" i="1"/>
  <c r="C280" i="1"/>
  <c r="B280" i="1"/>
  <c r="E280" i="1"/>
  <c r="D271" i="1"/>
  <c r="C271" i="1"/>
  <c r="B271" i="1"/>
  <c r="E271" i="1"/>
  <c r="D262" i="1"/>
  <c r="C262" i="1"/>
  <c r="B262" i="1"/>
  <c r="E262" i="1"/>
  <c r="D253" i="1"/>
  <c r="C253" i="1"/>
  <c r="B253" i="1"/>
  <c r="E253" i="1"/>
  <c r="D244" i="1"/>
  <c r="C244" i="1"/>
  <c r="B244" i="1"/>
  <c r="E244" i="1"/>
  <c r="D235" i="1"/>
  <c r="C235" i="1"/>
  <c r="B235" i="1"/>
  <c r="E235" i="1"/>
  <c r="D226" i="1"/>
  <c r="C226" i="1"/>
  <c r="B226" i="1"/>
  <c r="E226" i="1"/>
  <c r="D217" i="1"/>
  <c r="C217" i="1"/>
  <c r="B217" i="1"/>
  <c r="E217" i="1"/>
  <c r="D208" i="1"/>
  <c r="C208" i="1"/>
  <c r="B208" i="1"/>
  <c r="E208" i="1"/>
  <c r="D199" i="1"/>
  <c r="C199" i="1"/>
  <c r="B199" i="1"/>
  <c r="E199" i="1"/>
  <c r="D190" i="1"/>
  <c r="C190" i="1"/>
  <c r="B190" i="1"/>
  <c r="E190" i="1"/>
  <c r="D181" i="1"/>
  <c r="C181" i="1"/>
  <c r="B181" i="1"/>
  <c r="E181" i="1"/>
  <c r="D172" i="1"/>
  <c r="C172" i="1"/>
  <c r="B172" i="1"/>
  <c r="E172" i="1"/>
  <c r="D163" i="1"/>
  <c r="C163" i="1"/>
  <c r="B163" i="1"/>
  <c r="E163" i="1"/>
  <c r="E154" i="1"/>
  <c r="D145" i="1"/>
  <c r="C145" i="1"/>
  <c r="B145" i="1"/>
  <c r="E145" i="1"/>
  <c r="D136" i="1"/>
  <c r="C136" i="1"/>
  <c r="B136" i="1"/>
  <c r="E136" i="1"/>
  <c r="D127" i="1"/>
  <c r="C127" i="1"/>
  <c r="B127" i="1"/>
  <c r="E127" i="1"/>
  <c r="D118" i="1"/>
  <c r="C118" i="1"/>
  <c r="B118" i="1"/>
  <c r="E118" i="1"/>
  <c r="D109" i="1"/>
  <c r="C109" i="1"/>
  <c r="B109" i="1"/>
  <c r="E109" i="1"/>
  <c r="D100" i="1"/>
  <c r="C100" i="1"/>
  <c r="B100" i="1"/>
  <c r="E100" i="1"/>
  <c r="D91" i="1"/>
  <c r="C91" i="1"/>
  <c r="B91" i="1"/>
  <c r="E91" i="1"/>
  <c r="D83" i="1"/>
  <c r="C83" i="1"/>
  <c r="B83" i="1"/>
  <c r="E83" i="1"/>
  <c r="D76" i="1"/>
  <c r="C76" i="1"/>
  <c r="B76" i="1"/>
  <c r="E76" i="1"/>
  <c r="D69" i="1"/>
  <c r="C69" i="1"/>
  <c r="B69" i="1"/>
  <c r="E69" i="1"/>
  <c r="D62" i="1"/>
  <c r="C62" i="1"/>
  <c r="B62" i="1"/>
  <c r="E62" i="1"/>
  <c r="D55" i="1"/>
  <c r="C55" i="1"/>
  <c r="B55" i="1"/>
  <c r="E55" i="1"/>
  <c r="D48" i="1"/>
  <c r="C48" i="1"/>
  <c r="B48" i="1"/>
  <c r="E48" i="1"/>
  <c r="D41" i="1"/>
  <c r="C41" i="1"/>
  <c r="B41" i="1"/>
  <c r="E41" i="1"/>
  <c r="D34" i="1"/>
  <c r="C34" i="1"/>
  <c r="B34" i="1"/>
  <c r="E34" i="1"/>
  <c r="D27" i="1"/>
  <c r="C27" i="1"/>
  <c r="B27" i="1"/>
  <c r="E27" i="1"/>
  <c r="D20" i="1"/>
  <c r="C20" i="1"/>
  <c r="B20" i="1"/>
  <c r="E20" i="1"/>
  <c r="D13" i="1"/>
  <c r="E13" i="1"/>
  <c r="C13" i="1"/>
  <c r="B13" i="1"/>
  <c r="D6" i="1"/>
  <c r="C6" i="1"/>
  <c r="B6" i="1"/>
  <c r="E6" i="1"/>
</calcChain>
</file>

<file path=xl/sharedStrings.xml><?xml version="1.0" encoding="utf-8"?>
<sst xmlns="http://schemas.openxmlformats.org/spreadsheetml/2006/main" count="1215" uniqueCount="370">
  <si>
    <t/>
  </si>
  <si>
    <t>1 Never</t>
  </si>
  <si>
    <t>2 Occasionally</t>
  </si>
  <si>
    <t>3 Regularly</t>
  </si>
  <si>
    <t>Total</t>
  </si>
  <si>
    <t>1 No Flexibility</t>
  </si>
  <si>
    <t>2 Very little flexibility</t>
  </si>
  <si>
    <t>3 Some flexibility</t>
  </si>
  <si>
    <t>4 A great deal of flexibility</t>
  </si>
  <si>
    <t>1 Very unsatisfied</t>
  </si>
  <si>
    <t>2 Unsatisfied</t>
  </si>
  <si>
    <t>3 Neither satisfied nor dissatisfied</t>
  </si>
  <si>
    <t>4 Satisfied</t>
  </si>
  <si>
    <t>5 Very satisfied</t>
  </si>
  <si>
    <t>1 Does not apply</t>
  </si>
  <si>
    <t>2 Strongly disagree</t>
  </si>
  <si>
    <t>3 Disagree</t>
  </si>
  <si>
    <t>4 Agree</t>
  </si>
  <si>
    <t>5 Strongly agree</t>
  </si>
  <si>
    <t>1 Not sure/does not apply</t>
  </si>
  <si>
    <t>1 not at all effective</t>
  </si>
  <si>
    <t>10extremely effective</t>
  </si>
  <si>
    <t>2</t>
  </si>
  <si>
    <t>3</t>
  </si>
  <si>
    <t>4</t>
  </si>
  <si>
    <t>5</t>
  </si>
  <si>
    <t>6</t>
  </si>
  <si>
    <t>7</t>
  </si>
  <si>
    <t>8</t>
  </si>
  <si>
    <t>9</t>
  </si>
  <si>
    <t>1 Very difficult</t>
  </si>
  <si>
    <t>2 Difficult</t>
  </si>
  <si>
    <t>3 Neither easy nor difficult</t>
  </si>
  <si>
    <t>4 Easy</t>
  </si>
  <si>
    <t>5 Very Easy</t>
  </si>
  <si>
    <t>1 Never/rarely</t>
  </si>
  <si>
    <t>3 Often</t>
  </si>
  <si>
    <t>4 Usually</t>
  </si>
  <si>
    <t>5 Always</t>
  </si>
  <si>
    <t>1 Poor</t>
  </si>
  <si>
    <t>2 Fair</t>
  </si>
  <si>
    <t>3 Good</t>
  </si>
  <si>
    <t>4 Very good</t>
  </si>
  <si>
    <t>5 Excellent</t>
  </si>
  <si>
    <t>1 Not at all</t>
  </si>
  <si>
    <t>2 A few days</t>
  </si>
  <si>
    <t>3 Several days</t>
  </si>
  <si>
    <t>4 More than half the days</t>
  </si>
  <si>
    <t>5 Nearly everyday</t>
  </si>
  <si>
    <t>2 Sometimes</t>
  </si>
  <si>
    <t>1 Not Sure</t>
  </si>
  <si>
    <t>No</t>
  </si>
  <si>
    <t>Female</t>
  </si>
  <si>
    <t>Male</t>
  </si>
  <si>
    <t>Other (please specify)</t>
  </si>
  <si>
    <t>Prefer not to say</t>
  </si>
  <si>
    <t>-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</si>
  <si>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</si>
  <si>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</si>
  <si>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</si>
  <si>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</si>
  <si>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</si>
  <si>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</si>
  <si>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</si>
  <si>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</si>
  <si>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</si>
  <si>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65+</t>
  </si>
  <si>
    <t>Yes</t>
  </si>
  <si>
    <t>Agnostic</t>
  </si>
  <si>
    <t>Anglican</t>
  </si>
  <si>
    <t>Atheist</t>
  </si>
  <si>
    <t>Australian Aboriginal Traditions</t>
  </si>
  <si>
    <t>Brethren</t>
  </si>
  <si>
    <t>Buddhist</t>
  </si>
  <si>
    <t>Catholic</t>
  </si>
  <si>
    <t>Christian</t>
  </si>
  <si>
    <t>Christian Orthodox</t>
  </si>
  <si>
    <t>Hindu</t>
  </si>
  <si>
    <t>Jewish</t>
  </si>
  <si>
    <t>Lutheran</t>
  </si>
  <si>
    <t>Muslim</t>
  </si>
  <si>
    <t>None (no religion)</t>
  </si>
  <si>
    <t>Pentecostal</t>
  </si>
  <si>
    <t>Presbyterian and Reformed</t>
  </si>
  <si>
    <t>Protestant</t>
  </si>
  <si>
    <t>Salvation Army</t>
  </si>
  <si>
    <t>Sikh</t>
  </si>
  <si>
    <t>Uniting Church</t>
  </si>
  <si>
    <t>Africa</t>
  </si>
  <si>
    <t>America (USA)</t>
  </si>
  <si>
    <t>Australia</t>
  </si>
  <si>
    <t>Bangladesh</t>
  </si>
  <si>
    <t>Canada</t>
  </si>
  <si>
    <t>China</t>
  </si>
  <si>
    <t>England</t>
  </si>
  <si>
    <t>France</t>
  </si>
  <si>
    <t>Germany</t>
  </si>
  <si>
    <t>Greece</t>
  </si>
  <si>
    <t>India</t>
  </si>
  <si>
    <t>Indonesia</t>
  </si>
  <si>
    <t>Iraq</t>
  </si>
  <si>
    <t>Ireland</t>
  </si>
  <si>
    <t>Italy</t>
  </si>
  <si>
    <t>Japan</t>
  </si>
  <si>
    <t>Korea</t>
  </si>
  <si>
    <t>Lebanon</t>
  </si>
  <si>
    <t>Malaysia</t>
  </si>
  <si>
    <t>New Zealand</t>
  </si>
  <si>
    <t>Pakistan</t>
  </si>
  <si>
    <t>Philippines</t>
  </si>
  <si>
    <t>Slovakia</t>
  </si>
  <si>
    <t>South America</t>
  </si>
  <si>
    <t>Vietnam</t>
  </si>
  <si>
    <t>Argentina</t>
  </si>
  <si>
    <t>Egypt</t>
  </si>
  <si>
    <t>EGYPT</t>
  </si>
  <si>
    <t>Ghana</t>
  </si>
  <si>
    <t>Hong Kong</t>
  </si>
  <si>
    <t>Hong Kong (when UK territory).</t>
  </si>
  <si>
    <t>Mauritius</t>
  </si>
  <si>
    <t>Myanmar</t>
  </si>
  <si>
    <t>Nepal</t>
  </si>
  <si>
    <t>Peru</t>
  </si>
  <si>
    <t>Scotland</t>
  </si>
  <si>
    <t>South Africa</t>
  </si>
  <si>
    <t>Taiwan</t>
  </si>
  <si>
    <t>Uruguay</t>
  </si>
  <si>
    <t>yemen</t>
  </si>
  <si>
    <t>Aboriginal/Torres Strait Islander</t>
  </si>
  <si>
    <t>African</t>
  </si>
  <si>
    <t>American</t>
  </si>
  <si>
    <t>Australian</t>
  </si>
  <si>
    <t>Bangladeshi</t>
  </si>
  <si>
    <t>Canadian</t>
  </si>
  <si>
    <t>Chinese</t>
  </si>
  <si>
    <t>Croatian</t>
  </si>
  <si>
    <t>Dutch</t>
  </si>
  <si>
    <t>English</t>
  </si>
  <si>
    <t>Filipino</t>
  </si>
  <si>
    <t>French</t>
  </si>
  <si>
    <t>German</t>
  </si>
  <si>
    <t>Greek</t>
  </si>
  <si>
    <t>Indian</t>
  </si>
  <si>
    <t>Irish</t>
  </si>
  <si>
    <t>Italian</t>
  </si>
  <si>
    <t>Japanese</t>
  </si>
  <si>
    <t>Korean</t>
  </si>
  <si>
    <t>Lebanese</t>
  </si>
  <si>
    <t>Macedonian</t>
  </si>
  <si>
    <t>New Zealander</t>
  </si>
  <si>
    <t>Pacific Islander</t>
  </si>
  <si>
    <t>Pakistani</t>
  </si>
  <si>
    <t>Russian</t>
  </si>
  <si>
    <t>Slovakian</t>
  </si>
  <si>
    <t>South American</t>
  </si>
  <si>
    <t>Spanish</t>
  </si>
  <si>
    <t>Sri Lankan</t>
  </si>
  <si>
    <t>Turkish</t>
  </si>
  <si>
    <t>Vietnamese</t>
  </si>
  <si>
    <t>Afro-Caribbean-Caucasian</t>
  </si>
  <si>
    <t>Australian/Chinese</t>
  </si>
  <si>
    <t>Both Australian and Bangladeshi</t>
  </si>
  <si>
    <t>British</t>
  </si>
  <si>
    <t>Burmese</t>
  </si>
  <si>
    <t>Creole Mauritian</t>
  </si>
  <si>
    <t>Egyptian</t>
  </si>
  <si>
    <t>German, Australian, African</t>
  </si>
  <si>
    <t>Ghanaian</t>
  </si>
  <si>
    <t>Gurkha</t>
  </si>
  <si>
    <t>Latin American</t>
  </si>
  <si>
    <t>Maltese</t>
  </si>
  <si>
    <t>Mauritian</t>
  </si>
  <si>
    <t>Mauritian/Australian</t>
  </si>
  <si>
    <t>Nepalese</t>
  </si>
  <si>
    <t>Scottish</t>
  </si>
  <si>
    <t>Ukrainian and German</t>
  </si>
  <si>
    <t>Intellectual impairment</t>
  </si>
  <si>
    <t>Not applicable</t>
  </si>
  <si>
    <t>Other type of disability not listed above</t>
  </si>
  <si>
    <t>Physical impairment</t>
  </si>
  <si>
    <t>Psychological impairment</t>
  </si>
  <si>
    <t>Sensory impairment (e.g., sight or hearing)</t>
  </si>
  <si>
    <t>Policy</t>
  </si>
  <si>
    <t>Procurement</t>
  </si>
  <si>
    <t>Senior Executive</t>
  </si>
  <si>
    <t>Accounting and Financial</t>
  </si>
  <si>
    <t>Administration and Clerical</t>
  </si>
  <si>
    <t>CEO</t>
  </si>
  <si>
    <t>Community</t>
  </si>
  <si>
    <t>Contract &amp; Procurement</t>
  </si>
  <si>
    <t>Customer Services and Call Centre</t>
  </si>
  <si>
    <t>Economist</t>
  </si>
  <si>
    <t>Education And/Or Training</t>
  </si>
  <si>
    <t>Emergency Services</t>
  </si>
  <si>
    <t>Environmental</t>
  </si>
  <si>
    <t>Governance</t>
  </si>
  <si>
    <t>Graduate / Cadet / Scholar EOI</t>
  </si>
  <si>
    <t>Health - Allied</t>
  </si>
  <si>
    <t>Health - Medical Positions</t>
  </si>
  <si>
    <t>Health Education Officer (PH)</t>
  </si>
  <si>
    <t>Human Resources and Recruitment</t>
  </si>
  <si>
    <t>Human Services</t>
  </si>
  <si>
    <t>Identified Positions</t>
  </si>
  <si>
    <t>Information and Communications Technology</t>
  </si>
  <si>
    <t>Legal and Justice</t>
  </si>
  <si>
    <t>Marketing &amp; Communications</t>
  </si>
  <si>
    <t>Media, Publicity and Communications</t>
  </si>
  <si>
    <t>Non Rail Safety and Non Shiftwork Temporary</t>
  </si>
  <si>
    <t>Nursing and Midwifery</t>
  </si>
  <si>
    <t>Patient Support Services</t>
  </si>
  <si>
    <t>Planning</t>
  </si>
  <si>
    <t>Primary and Community Care</t>
  </si>
  <si>
    <t>Projects</t>
  </si>
  <si>
    <t>Research and Analysis</t>
  </si>
  <si>
    <t>Safety</t>
  </si>
  <si>
    <t>Sales and Marketing</t>
  </si>
  <si>
    <t>Specialist</t>
  </si>
  <si>
    <t>A manager of managers</t>
  </si>
  <si>
    <t>A supervisor/manager of other employees</t>
  </si>
  <si>
    <t>An employee who does not supervise others</t>
  </si>
  <si>
    <t>10.0</t>
  </si>
  <si>
    <t>14</t>
  </si>
  <si>
    <t>16</t>
  </si>
  <si>
    <t>16.0</t>
  </si>
  <si>
    <t>17.5</t>
  </si>
  <si>
    <t>20.0</t>
  </si>
  <si>
    <t>21</t>
  </si>
  <si>
    <t>24</t>
  </si>
  <si>
    <t>24.0</t>
  </si>
  <si>
    <t>25</t>
  </si>
  <si>
    <t>26</t>
  </si>
  <si>
    <t>27.0</t>
  </si>
  <si>
    <t>28</t>
  </si>
  <si>
    <t>30</t>
  </si>
  <si>
    <t>30.0</t>
  </si>
  <si>
    <t>32</t>
  </si>
  <si>
    <t>32.0</t>
  </si>
  <si>
    <t>33</t>
  </si>
  <si>
    <t>34</t>
  </si>
  <si>
    <t>35</t>
  </si>
  <si>
    <t>36</t>
  </si>
  <si>
    <t>36.0</t>
  </si>
  <si>
    <t>37</t>
  </si>
  <si>
    <t>37.0</t>
  </si>
  <si>
    <t>37.5</t>
  </si>
  <si>
    <t>38</t>
  </si>
  <si>
    <t>38.0</t>
  </si>
  <si>
    <t>39</t>
  </si>
  <si>
    <t>40</t>
  </si>
  <si>
    <t>40.0</t>
  </si>
  <si>
    <t>41.0</t>
  </si>
  <si>
    <t>42</t>
  </si>
  <si>
    <t>42.0</t>
  </si>
  <si>
    <t>43</t>
  </si>
  <si>
    <t>43.0</t>
  </si>
  <si>
    <t>44.0</t>
  </si>
  <si>
    <t>45</t>
  </si>
  <si>
    <t>45.0</t>
  </si>
  <si>
    <t>46.0</t>
  </si>
  <si>
    <t>47</t>
  </si>
  <si>
    <t>48</t>
  </si>
  <si>
    <t>48.0</t>
  </si>
  <si>
    <t>50</t>
  </si>
  <si>
    <t>50.0</t>
  </si>
  <si>
    <t>55</t>
  </si>
  <si>
    <t>55.0</t>
  </si>
  <si>
    <t>60</t>
  </si>
  <si>
    <t>60.0</t>
  </si>
  <si>
    <t>7.5</t>
  </si>
  <si>
    <t>70</t>
  </si>
  <si>
    <t>70.0</t>
  </si>
  <si>
    <t>76.0</t>
  </si>
  <si>
    <t>80</t>
  </si>
  <si>
    <t>80.0</t>
  </si>
  <si>
    <t>Pre Count</t>
  </si>
  <si>
    <t>Post Count</t>
  </si>
  <si>
    <t>Post Count %</t>
  </si>
  <si>
    <t>Pre Count %</t>
  </si>
  <si>
    <t>Response</t>
  </si>
  <si>
    <t>Column1</t>
  </si>
  <si>
    <t>Column2</t>
  </si>
  <si>
    <t>Column3</t>
  </si>
  <si>
    <t>Column4</t>
  </si>
  <si>
    <t>Column5</t>
  </si>
  <si>
    <t>Table 1: Flexible start and finish times</t>
  </si>
  <si>
    <t>Table 2: Working more hours over fewer days</t>
  </si>
  <si>
    <t>Table 3: Working additional hours to make up for time off</t>
  </si>
  <si>
    <t>Table 4: Flexible scheduling for rostered workers</t>
  </si>
  <si>
    <t>Table 5: Part-time work</t>
  </si>
  <si>
    <t>Table 6: Job sharing</t>
  </si>
  <si>
    <t>Table 7: Working from different locations</t>
  </si>
  <si>
    <t>Table 8: Working from home</t>
  </si>
  <si>
    <t>Table 9: Purchasing annual leave</t>
  </si>
  <si>
    <t>Table 10: Leave without pay</t>
  </si>
  <si>
    <t>Table 11: Study leave</t>
  </si>
  <si>
    <t>Table 12: Other type of flexible work</t>
  </si>
  <si>
    <t>Table 13: How much flexibility do you have where you do your work?</t>
  </si>
  <si>
    <t>Table 14: Flexible start and finish times</t>
  </si>
  <si>
    <t>Table 15: Working more hours over fewer days</t>
  </si>
  <si>
    <t>Table 16: Working additional hours to make up for time off</t>
  </si>
  <si>
    <t>Table 17: Flexible scheduling for rostered workers</t>
  </si>
  <si>
    <t>Table 18: Part-time work</t>
  </si>
  <si>
    <t>Table 19: Job sharing</t>
  </si>
  <si>
    <t>Table 20: Working from different locations</t>
  </si>
  <si>
    <t>Table 21: Working from home</t>
  </si>
  <si>
    <t>Table 22: Purchasing annual leave</t>
  </si>
  <si>
    <t>Table 23: Leave without pay</t>
  </si>
  <si>
    <t>Table 24: Study leave</t>
  </si>
  <si>
    <t>Table 25: Other type of flexible work</t>
  </si>
  <si>
    <t>Table 26: My job allows me the flexibility I need to meet my work and family/personal commitments</t>
  </si>
  <si>
    <t>Table 27: I am able to access ad hoc flexibility when my needschange on short notice</t>
  </si>
  <si>
    <t>Table 28: I feel comfortable using the flexible work optionsthat are available to me</t>
  </si>
  <si>
    <t>Table 29: I can access flexibility for any reason</t>
  </si>
  <si>
    <t>Table 30: My commitment to the team or organisation would bequestioned if I worked more flexibly</t>
  </si>
  <si>
    <t>Table 31: My opportunities for promotion would be reduced if I worked more flexibly</t>
  </si>
  <si>
    <t>Table 32: I can easily set up a flexible working arrangement based on current agency processes</t>
  </si>
  <si>
    <t>Table 33: Are flexible and prepared to adjust how or when work is done in order to get a job done</t>
  </si>
  <si>
    <t>Table 34: Are flexible in re-organising our work when members have family/personal demands that make it difficult for them to do their work effectively</t>
  </si>
  <si>
    <t>Table 35: Have an effective system for organising and planning work to enable flexibility in how, when or where work is done</t>
  </si>
  <si>
    <t>Table 36: Give consideration to flexibility in how, or where we work, when we are organising our work</t>
  </si>
  <si>
    <t>Table 37: Have a spirit of co-operation and support that enables flexibility for all members in how, when or where work is done</t>
  </si>
  <si>
    <t>Table 38: Work effectively together to deliver our work objectives</t>
  </si>
  <si>
    <t>Table 39: Provide a high level of customer service</t>
  </si>
  <si>
    <t>Table 40: Have a high level of productivity</t>
  </si>
  <si>
    <t>Table 41: Are willing to help each other, even if it means doing something outside our usual activities</t>
  </si>
  <si>
    <t>Table 42: Encourage each other to contribute to discussion so that different points of view help inform decisions</t>
  </si>
  <si>
    <t>Table 43: Are open to change in the way work is performed</t>
  </si>
  <si>
    <t>Table 44: Speak openly and honestly with each other about work issues</t>
  </si>
  <si>
    <t>Table 45: Can rely on each other for support during challenging times</t>
  </si>
  <si>
    <t>Table 46: Have a good understanding of others’ work roles</t>
  </si>
  <si>
    <t>Table 47: Is strongly supportive of flexible working</t>
  </si>
  <si>
    <t>Table 48: Is sensitive to the demands of my personal/family life</t>
  </si>
  <si>
    <t>Table 49: Is an effective role model for flexible working</t>
  </si>
  <si>
    <t>Table 50: Is open and honest in his/her communication with me</t>
  </si>
  <si>
    <t>Table 51: Supports me to do a good job</t>
  </si>
  <si>
    <t>Table 52: Cares about me as a person</t>
  </si>
  <si>
    <t>Table 53: I know what is expected of me in my role</t>
  </si>
  <si>
    <t>Table 54: There is a high level of trust in my work area</t>
  </si>
  <si>
    <t>Table 55: I feel I am valued as an employee</t>
  </si>
  <si>
    <t>Table 56: I feel safe to speak up</t>
  </si>
  <si>
    <t>Table 57: I feel a strong sense of loyalty to my immediate supervisor</t>
  </si>
  <si>
    <t>Table 58: I do things that are not part of my normal work whennecessary to meet team or work area commitments</t>
  </si>
  <si>
    <t>Table 59: I would confidently recommend my work area asa good place to work</t>
  </si>
  <si>
    <t>Table 60: I am able to make independent decisions that affect my work without asking for approval all of the time</t>
  </si>
  <si>
    <t>Table 61: The business processes we use are efficient</t>
  </si>
  <si>
    <t>Table 62: We have a climate where people can challenge traditional ways of doing things</t>
  </si>
  <si>
    <t>Table 63: Work in my team is measured on outputs and outcomes, not time present</t>
  </si>
  <si>
    <t>Table 64: Overall, how effective (in terms of achieving your work goals) do you feel you are in your job?</t>
  </si>
  <si>
    <t>Table 65: How easy or difficult is it for you to manage the demands of your work and your personal/family life?</t>
  </si>
  <si>
    <t>Table 66: Miss a significant personal/family obligation or event for work reasons</t>
  </si>
  <si>
    <t>Table 67: Miss a significant work obligation for personalor family reasons</t>
  </si>
  <si>
    <t>Table 68: During the past month how often have you felt refreshed and renewed at the beginning of each day?</t>
  </si>
  <si>
    <t>Table 69: How would you rate your overall physical health?</t>
  </si>
  <si>
    <t>Table 70: During the past two weeks, how often have you felt little interest or pleasure in doing things:</t>
  </si>
  <si>
    <t>Table 71: I have time to take care of my wellbeing</t>
  </si>
  <si>
    <t>Table 72: I can talk to my immediate supervisor about my wellbeing</t>
  </si>
  <si>
    <t>Table 73: Are you:</t>
  </si>
  <si>
    <t>Table 74: How old are you?</t>
  </si>
  <si>
    <t>Table 75: Do you identify as LGBTIQ (Lesbian, Gay, Bisexual, Transgender, Intersex, Queer)?</t>
  </si>
  <si>
    <t>Table 76: What is your religion or faith?</t>
  </si>
  <si>
    <t>Table 77: Where were you born?</t>
  </si>
  <si>
    <t>Table 78: Other (please specify)</t>
  </si>
  <si>
    <t>Table 79: Which ethnic or cultural background do you most identify with? Definition: Ethnic or cultural background is not the same as nationality or place of birth. Your ethnic or cultural background means the group from which you descend and that shares a distinct</t>
  </si>
  <si>
    <t>Table 80: Other (please specify)</t>
  </si>
  <si>
    <t>Table 81: If you consider yourself to have a disability, please indicate what type of disability this is  Definition:  A disability is any condition that restricts a person's mental, sensory or mobility functions. It may be caused by accident, trauma, genetics or</t>
  </si>
  <si>
    <t>Table 82: Do you currently have the responsibility for providing care or support for someone in need of assistance, either because they are a child, elderly, have a disability or a health problem?</t>
  </si>
  <si>
    <t>Table 83: An adult who is elderly, or has a disability or health problem</t>
  </si>
  <si>
    <t>Table 84: What area do you work in?</t>
  </si>
  <si>
    <t>Table 85: Are you:</t>
  </si>
  <si>
    <t>Table 86: On average, how many hours per week do you work?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</si>
</sst>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##0.0%"/>
  </numFmts>
  <fonts count="4" x14ac:knownFonts="1">
    <font>
      <sz val="11"/>
      <color theme="1"/>
      <name val="Calibri"/>
      <family val="2"/>
      <scheme val="minor"/>
    </font>
    <font>
      <sz val="12"/>
      <color rgb="FF264A60"/>
      <name val="Arial"/>
      <family val="2"/>
    </font>
    <font>
      <sz val="12"/>
      <color rgb="FF010205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/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/>
      <diagonal/>
    </border>
    <border>
      <left/>
      <right/>
      <top/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/>
      <top style="thin">
        <color rgb="FFAEAEAE"/>
      </top>
      <bottom/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/>
      <top/>
      <bottom style="thin">
        <color rgb="FFAEAEAE"/>
      </bottom>
      <diagonal/>
    </border>
    <border>
      <left/>
      <right/>
      <top style="thin">
        <color rgb="FFAEAEAE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7">
    <xf numFmtId="0" fontId="0" fillId="0" borderId="0" xfId="0"/>
    <xf numFmtId="0" fontId="1" fillId="3" borderId="1" xfId="10" applyFont="1" applyFill="1" applyBorder="1" applyAlignment="1">
      <alignment horizontal="left" vertical="top" wrapText="1"/>
    </xf>
    <xf numFmtId="0" fontId="1" fillId="3" borderId="7" xfId="34" applyFont="1" applyFill="1" applyBorder="1" applyAlignment="1">
      <alignment horizontal="left" vertical="top" wrapText="1"/>
    </xf>
    <xf numFmtId="164" fontId="2" fillId="2" borderId="8" xfId="35" applyNumberFormat="1" applyFont="1" applyFill="1" applyBorder="1" applyAlignment="1">
      <alignment horizontal="right" vertical="top"/>
    </xf>
    <xf numFmtId="165" fontId="2" fillId="2" borderId="9" xfId="36" applyNumberFormat="1" applyFont="1" applyFill="1" applyBorder="1" applyAlignment="1">
      <alignment horizontal="right" vertical="top"/>
    </xf>
    <xf numFmtId="164" fontId="2" fillId="2" borderId="9" xfId="37" applyNumberFormat="1" applyFont="1" applyFill="1" applyBorder="1" applyAlignment="1">
      <alignment horizontal="right" vertical="top"/>
    </xf>
    <xf numFmtId="165" fontId="2" fillId="2" borderId="10" xfId="38" applyNumberFormat="1" applyFont="1" applyFill="1" applyBorder="1" applyAlignment="1">
      <alignment horizontal="right" vertical="top"/>
    </xf>
    <xf numFmtId="164" fontId="2" fillId="2" borderId="11" xfId="39" applyNumberFormat="1" applyFont="1" applyFill="1" applyBorder="1" applyAlignment="1">
      <alignment horizontal="right" vertical="top"/>
    </xf>
    <xf numFmtId="165" fontId="2" fillId="2" borderId="12" xfId="40" applyNumberFormat="1" applyFont="1" applyFill="1" applyBorder="1" applyAlignment="1">
      <alignment horizontal="right" vertical="top"/>
    </xf>
    <xf numFmtId="164" fontId="2" fillId="2" borderId="12" xfId="41" applyNumberFormat="1" applyFont="1" applyFill="1" applyBorder="1" applyAlignment="1">
      <alignment horizontal="right" vertical="top"/>
    </xf>
    <xf numFmtId="165" fontId="2" fillId="2" borderId="13" xfId="42" applyNumberFormat="1" applyFont="1" applyFill="1" applyBorder="1" applyAlignment="1">
      <alignment horizontal="right" vertical="top"/>
    </xf>
    <xf numFmtId="0" fontId="1" fillId="3" borderId="15" xfId="9" applyFont="1" applyFill="1" applyBorder="1" applyAlignment="1">
      <alignment horizontal="left" vertical="top" wrapText="1"/>
    </xf>
    <xf numFmtId="0" fontId="1" fillId="2" borderId="3" xfId="23" applyFont="1" applyFill="1" applyBorder="1" applyAlignment="1">
      <alignment horizontal="left" wrapText="1"/>
    </xf>
    <xf numFmtId="0" fontId="1" fillId="3" borderId="1" xfId="9" applyFont="1" applyFill="1" applyBorder="1" applyAlignment="1">
      <alignment horizontal="left" vertical="top" wrapText="1"/>
    </xf>
    <xf numFmtId="0" fontId="1" fillId="3" borderId="1" xfId="10" applyFont="1" applyFill="1" applyBorder="1" applyAlignment="1">
      <alignment horizontal="left" vertical="top" wrapText="1"/>
    </xf>
    <xf numFmtId="0" fontId="1" fillId="4" borderId="1" xfId="10" applyFont="1" applyFill="1" applyBorder="1" applyAlignment="1">
      <alignment horizontal="left" vertical="top" wrapText="1"/>
    </xf>
    <xf numFmtId="164" fontId="2" fillId="4" borderId="11" xfId="39" applyNumberFormat="1" applyFont="1" applyFill="1" applyBorder="1" applyAlignment="1">
      <alignment horizontal="right" vertical="top"/>
    </xf>
    <xf numFmtId="165" fontId="2" fillId="4" borderId="12" xfId="40" applyNumberFormat="1" applyFont="1" applyFill="1" applyBorder="1" applyAlignment="1">
      <alignment horizontal="right" vertical="top"/>
    </xf>
    <xf numFmtId="164" fontId="2" fillId="4" borderId="12" xfId="41" applyNumberFormat="1" applyFont="1" applyFill="1" applyBorder="1" applyAlignment="1">
      <alignment horizontal="right" vertical="top"/>
    </xf>
    <xf numFmtId="165" fontId="2" fillId="4" borderId="13" xfId="42" applyNumberFormat="1" applyFont="1" applyFill="1" applyBorder="1" applyAlignment="1">
      <alignment horizontal="right" vertical="top"/>
    </xf>
    <xf numFmtId="0" fontId="0" fillId="4" borderId="0" xfId="0" applyFill="1"/>
    <xf numFmtId="0" fontId="1" fillId="3" borderId="14" xfId="10" applyFont="1" applyFill="1" applyBorder="1" applyAlignment="1">
      <alignment horizontal="left" vertical="top" wrapText="1"/>
    </xf>
    <xf numFmtId="164" fontId="2" fillId="2" borderId="16" xfId="39" applyNumberFormat="1" applyFont="1" applyFill="1" applyBorder="1" applyAlignment="1">
      <alignment horizontal="right" vertical="top"/>
    </xf>
    <xf numFmtId="165" fontId="2" fillId="2" borderId="17" xfId="40" applyNumberFormat="1" applyFont="1" applyFill="1" applyBorder="1" applyAlignment="1">
      <alignment horizontal="right" vertical="top"/>
    </xf>
    <xf numFmtId="164" fontId="2" fillId="2" borderId="17" xfId="41" applyNumberFormat="1" applyFont="1" applyFill="1" applyBorder="1" applyAlignment="1">
      <alignment horizontal="right" vertical="top"/>
    </xf>
    <xf numFmtId="165" fontId="2" fillId="2" borderId="18" xfId="42" applyNumberFormat="1" applyFont="1" applyFill="1" applyBorder="1" applyAlignment="1">
      <alignment horizontal="right" vertical="top"/>
    </xf>
    <xf numFmtId="0" fontId="1" fillId="5" borderId="2" xfId="0" applyNumberFormat="1" applyFont="1" applyFill="1" applyBorder="1" applyAlignment="1" applyProtection="1">
      <alignment horizontal="left" vertical="top" wrapText="1"/>
    </xf>
    <xf numFmtId="165" fontId="2" fillId="0" borderId="6" xfId="0" applyNumberFormat="1" applyFont="1" applyFill="1" applyBorder="1" applyAlignment="1" applyProtection="1">
      <alignment horizontal="right" vertical="top"/>
    </xf>
    <xf numFmtId="164" fontId="2" fillId="0" borderId="4" xfId="0" applyNumberFormat="1" applyFont="1" applyFill="1" applyBorder="1" applyAlignment="1" applyProtection="1">
      <alignment horizontal="right" vertical="top"/>
    </xf>
    <xf numFmtId="165" fontId="2" fillId="0" borderId="5" xfId="0" applyNumberFormat="1" applyFont="1" applyFill="1" applyBorder="1" applyAlignment="1" applyProtection="1">
      <alignment horizontal="right" vertical="top"/>
    </xf>
    <xf numFmtId="164" fontId="2" fillId="0" borderId="5" xfId="0" applyNumberFormat="1" applyFont="1" applyFill="1" applyBorder="1" applyAlignment="1" applyProtection="1">
      <alignment horizontal="right" vertical="top"/>
    </xf>
    <xf numFmtId="0" fontId="1" fillId="5" borderId="14" xfId="0" applyNumberFormat="1" applyFont="1" applyFill="1" applyBorder="1" applyAlignment="1" applyProtection="1">
      <alignment horizontal="left" vertical="top" wrapText="1"/>
    </xf>
    <xf numFmtId="0" fontId="2" fillId="0" borderId="16" xfId="0" applyNumberFormat="1" applyFont="1" applyFill="1" applyBorder="1" applyAlignment="1" applyProtection="1">
      <alignment horizontal="right" vertical="top"/>
    </xf>
    <xf numFmtId="0" fontId="2" fillId="0" borderId="17" xfId="0" applyNumberFormat="1" applyFont="1" applyFill="1" applyBorder="1" applyAlignment="1" applyProtection="1">
      <alignment horizontal="right" vertical="top"/>
    </xf>
    <xf numFmtId="165" fontId="2" fillId="0" borderId="18" xfId="0" applyNumberFormat="1" applyFont="1" applyFill="1" applyBorder="1" applyAlignment="1" applyProtection="1">
      <alignment horizontal="right" vertical="top"/>
    </xf>
    <xf numFmtId="164" fontId="2" fillId="0" borderId="16" xfId="0" applyNumberFormat="1" applyFont="1" applyFill="1" applyBorder="1" applyAlignment="1" applyProtection="1">
      <alignment horizontal="right" vertical="top"/>
    </xf>
    <xf numFmtId="165" fontId="2" fillId="0" borderId="17" xfId="0" applyNumberFormat="1" applyFont="1" applyFill="1" applyBorder="1" applyAlignment="1" applyProtection="1">
      <alignment horizontal="right" vertical="top"/>
    </xf>
    <xf numFmtId="164" fontId="2" fillId="0" borderId="17" xfId="0" applyNumberFormat="1" applyFont="1" applyFill="1" applyBorder="1" applyAlignment="1" applyProtection="1">
      <alignment horizontal="right" vertical="top"/>
    </xf>
    <xf numFmtId="0" fontId="1" fillId="3" borderId="15" xfId="10" applyFont="1" applyFill="1" applyBorder="1" applyAlignment="1">
      <alignment horizontal="left" vertical="top" wrapText="1"/>
    </xf>
    <xf numFmtId="164" fontId="2" fillId="2" borderId="19" xfId="39" applyNumberFormat="1" applyFont="1" applyFill="1" applyBorder="1" applyAlignment="1">
      <alignment horizontal="right" vertical="top"/>
    </xf>
    <xf numFmtId="165" fontId="2" fillId="2" borderId="20" xfId="40" applyNumberFormat="1" applyFont="1" applyFill="1" applyBorder="1" applyAlignment="1">
      <alignment horizontal="right" vertical="top"/>
    </xf>
    <xf numFmtId="164" fontId="2" fillId="2" borderId="20" xfId="41" applyNumberFormat="1" applyFont="1" applyFill="1" applyBorder="1" applyAlignment="1">
      <alignment horizontal="right" vertical="top"/>
    </xf>
    <xf numFmtId="165" fontId="2" fillId="2" borderId="21" xfId="42" applyNumberFormat="1" applyFont="1" applyFill="1" applyBorder="1" applyAlignment="1">
      <alignment horizontal="right" vertical="top"/>
    </xf>
    <xf numFmtId="0" fontId="1" fillId="3" borderId="15" xfId="10" applyFont="1" applyFill="1" applyBorder="1" applyAlignment="1">
      <alignment horizontal="left" vertical="top" wrapText="1"/>
    </xf>
    <xf numFmtId="0" fontId="1" fillId="4" borderId="22" xfId="10" applyFont="1" applyFill="1" applyBorder="1" applyAlignment="1">
      <alignment horizontal="left" vertical="top" wrapText="1"/>
    </xf>
    <xf numFmtId="0" fontId="1" fillId="4" borderId="1" xfId="10" applyFont="1" applyFill="1" applyBorder="1" applyAlignment="1">
      <alignment horizontal="left" vertical="top" wrapText="1"/>
    </xf>
    <xf numFmtId="0" fontId="1" fillId="4" borderId="14" xfId="10" applyFont="1" applyFill="1" applyBorder="1" applyAlignment="1">
      <alignment horizontal="left" vertical="top" wrapText="1"/>
    </xf>
  </cellXfs>
  <cellStyles count="47">
    <cellStyle name="Normal" xfId="0" builtinId="0"/>
    <cellStyle name="style1574674157826" xfId="1" xr:uid="{00000000-0005-0000-0000-000001000000}"/>
    <cellStyle name="style1574674157961" xfId="2" xr:uid="{00000000-0005-0000-0000-000002000000}"/>
    <cellStyle name="style1574674158244" xfId="3" xr:uid="{00000000-0005-0000-0000-000003000000}"/>
    <cellStyle name="style1574674158375" xfId="4" xr:uid="{00000000-0005-0000-0000-000004000000}"/>
    <cellStyle name="style1574674158496" xfId="5" xr:uid="{00000000-0005-0000-0000-000005000000}"/>
    <cellStyle name="style1574674158623" xfId="6" xr:uid="{00000000-0005-0000-0000-000006000000}"/>
    <cellStyle name="style1574674158707" xfId="7" xr:uid="{00000000-0005-0000-0000-000007000000}"/>
    <cellStyle name="style1574674158823" xfId="8" xr:uid="{00000000-0005-0000-0000-000008000000}"/>
    <cellStyle name="style1574674158919" xfId="9" xr:uid="{00000000-0005-0000-0000-000009000000}"/>
    <cellStyle name="style1574674159011" xfId="10" xr:uid="{00000000-0005-0000-0000-00000A000000}"/>
    <cellStyle name="style1574674159106" xfId="11" xr:uid="{00000000-0005-0000-0000-00000B000000}"/>
    <cellStyle name="style1574674159211" xfId="12" xr:uid="{00000000-0005-0000-0000-00000C000000}"/>
    <cellStyle name="style1574674159338" xfId="13" xr:uid="{00000000-0005-0000-0000-00000D000000}"/>
    <cellStyle name="style1574674159457" xfId="14" xr:uid="{00000000-0005-0000-0000-00000E000000}"/>
    <cellStyle name="style1574674159557" xfId="15" xr:uid="{00000000-0005-0000-0000-00000F000000}"/>
    <cellStyle name="style1574674159634" xfId="16" xr:uid="{00000000-0005-0000-0000-000010000000}"/>
    <cellStyle name="style1574674159712" xfId="17" xr:uid="{00000000-0005-0000-0000-000011000000}"/>
    <cellStyle name="style1574674159820" xfId="18" xr:uid="{00000000-0005-0000-0000-000012000000}"/>
    <cellStyle name="style1574674159906" xfId="19" xr:uid="{00000000-0005-0000-0000-000013000000}"/>
    <cellStyle name="style1574674159999" xfId="20" xr:uid="{00000000-0005-0000-0000-000014000000}"/>
    <cellStyle name="style1574674160105" xfId="21" xr:uid="{00000000-0005-0000-0000-000015000000}"/>
    <cellStyle name="style1574674160219" xfId="22" xr:uid="{00000000-0005-0000-0000-000016000000}"/>
    <cellStyle name="style1574674160334" xfId="23" xr:uid="{00000000-0005-0000-0000-000017000000}"/>
    <cellStyle name="style1574674160434" xfId="24" xr:uid="{00000000-0005-0000-0000-000018000000}"/>
    <cellStyle name="style1574674160520" xfId="25" xr:uid="{00000000-0005-0000-0000-000019000000}"/>
    <cellStyle name="style1574674160617" xfId="26" xr:uid="{00000000-0005-0000-0000-00001A000000}"/>
    <cellStyle name="style1574674160703" xfId="27" xr:uid="{00000000-0005-0000-0000-00001B000000}"/>
    <cellStyle name="style1574674160798" xfId="28" xr:uid="{00000000-0005-0000-0000-00001C000000}"/>
    <cellStyle name="style1574674160890" xfId="29" xr:uid="{00000000-0005-0000-0000-00001D000000}"/>
    <cellStyle name="style1574674161021" xfId="30" xr:uid="{00000000-0005-0000-0000-00001E000000}"/>
    <cellStyle name="style1574674161111" xfId="31" xr:uid="{00000000-0005-0000-0000-00001F000000}"/>
    <cellStyle name="style1574674161178" xfId="32" xr:uid="{00000000-0005-0000-0000-000020000000}"/>
    <cellStyle name="style1574674161239" xfId="33" xr:uid="{00000000-0005-0000-0000-000021000000}"/>
    <cellStyle name="style1574674161342" xfId="34" xr:uid="{00000000-0005-0000-0000-000022000000}"/>
    <cellStyle name="style1574674161579" xfId="35" xr:uid="{00000000-0005-0000-0000-000023000000}"/>
    <cellStyle name="style1574674161642" xfId="36" xr:uid="{00000000-0005-0000-0000-000024000000}"/>
    <cellStyle name="style1574674161703" xfId="37" xr:uid="{00000000-0005-0000-0000-000025000000}"/>
    <cellStyle name="style1574674161752" xfId="38" xr:uid="{00000000-0005-0000-0000-000026000000}"/>
    <cellStyle name="style1574674161814" xfId="39" xr:uid="{00000000-0005-0000-0000-000027000000}"/>
    <cellStyle name="style1574674161875" xfId="40" xr:uid="{00000000-0005-0000-0000-000028000000}"/>
    <cellStyle name="style1574674161938" xfId="41" xr:uid="{00000000-0005-0000-0000-000029000000}"/>
    <cellStyle name="style1574674161985" xfId="42" xr:uid="{00000000-0005-0000-0000-00002A000000}"/>
    <cellStyle name="style1574674162534" xfId="43" xr:uid="{00000000-0005-0000-0000-00002B000000}"/>
    <cellStyle name="style1574674162632" xfId="44" xr:uid="{00000000-0005-0000-0000-00002C000000}"/>
    <cellStyle name="style1574674162730" xfId="45" xr:uid="{00000000-0005-0000-0000-00002D000000}"/>
    <cellStyle name="style1574674162815" xfId="46" xr:uid="{00000000-0005-0000-0000-00002E000000}"/>
  </cellStyles>
  <dxfs count="12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numFmt numFmtId="0" formatCode="General"/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border outline="0"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indexed="64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indexed="64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indexed="64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indexed="64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indexed="64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numFmt numFmtId="0" formatCode="General"/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 style="thin">
          <color rgb="FFAEAEAE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numFmt numFmtId="0" formatCode="General"/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rgb="FFAEAEAE"/>
        </top>
        <bottom/>
      </border>
      <protection locked="1" hidden="0"/>
    </dxf>
    <dxf>
      <border outline="0">
        <top style="thin">
          <color rgb="FFAEAEAE"/>
        </top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 style="thin">
          <color rgb="FFE0E0E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 style="thin">
          <color rgb="FFE0E0E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rgb="FFE0E0E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/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5" formatCode="###0.0%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rgb="FFE0E0E0"/>
        </left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10205"/>
        <name val="Arial"/>
        <family val="2"/>
        <scheme val="none"/>
      </font>
      <numFmt numFmtId="164" formatCode="###0"/>
      <fill>
        <patternFill patternType="none">
          <fgColor indexed="64"/>
          <bgColor rgb="FFFFFFFF"/>
        </patternFill>
      </fill>
      <alignment horizontal="right" vertical="top" textRotation="0" wrapText="0" indent="0" justifyLastLine="0" shrinkToFit="0" readingOrder="0"/>
      <border diagonalUp="0" diagonalDown="0">
        <left/>
        <right style="thin">
          <color rgb="FFE0E0E0"/>
        </right>
        <top style="thin">
          <color rgb="FFAEAEAE"/>
        </top>
        <bottom style="thin">
          <color rgb="FFAEAEAE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64A60"/>
        <name val="Arial"/>
        <family val="2"/>
        <scheme val="none"/>
      </font>
      <fill>
        <patternFill patternType="solid">
          <fgColor indexed="64"/>
          <bgColor rgb="FFE0E0E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rgb="FFAEAEAE"/>
        </top>
        <bottom style="thin">
          <color rgb="FFAEAEAE"/>
        </bottom>
        <vertical/>
        <horizontal/>
      </border>
    </dxf>
    <dxf>
      <border outline="0">
        <bottom style="thin">
          <color rgb="FFAEAEAE"/>
        </bottom>
      </border>
    </dxf>
    <dxf>
      <border outline="0">
        <top style="thin">
          <color rgb="FFAEAEAE"/>
        </top>
        <bottom style="thin">
          <color rgb="FFAEAEAE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3DE626-F92B-45A0-880C-852D9F5B15FD}" name="Table3" displayName="Table3" ref="A2:E6" totalsRowCount="1" headerRowDxfId="1207" headerRowBorderDxfId="1213" tableBorderDxfId="1214" headerRowCellStyle="style1574674158919">
  <autoFilter ref="A2:E5" xr:uid="{0109C976-4AEC-4F25-81FE-E428C7B892A7}"/>
  <tableColumns count="5">
    <tableColumn id="1" xr3:uid="{F750F0F5-6A75-43FF-8B75-6F766CF1A71C}" name="Response" totalsRowLabel="Total" dataDxfId="1212" totalsRowDxfId="1206" dataCellStyle="style1574674159011" totalsRowCellStyle="style1574674159011"/>
    <tableColumn id="2" xr3:uid="{E8D45292-3075-4A59-A1DC-D919E260C567}" name="Pre Count" totalsRowFunction="sum" dataDxfId="1211" totalsRowDxfId="1204" dataCellStyle="style1574674161814"/>
    <tableColumn id="3" xr3:uid="{A38117FA-58B7-4E8B-845F-C1A76C28A132}" name="Pre Count %" totalsRowFunction="sum" dataDxfId="1210" totalsRowDxfId="1203" dataCellStyle="style1574674161875"/>
    <tableColumn id="4" xr3:uid="{C997A66B-AB47-4A16-AD47-4887338838AE}" name="Post Count" totalsRowFunction="sum" dataDxfId="1209" totalsRowDxfId="1202" dataCellStyle="style1574674161938"/>
    <tableColumn id="5" xr3:uid="{B3A4A5D8-0EEE-4B0F-8DF0-87F3B36ECBBF}" name="Post Count %" totalsRowFunction="sum" dataDxfId="1208" totalsRowDxfId="1205" dataCellStyle="style1574674161985" totalsRowCellStyle="style1574674161985"/>
  </tableColumns>
  <tableStyleInfo name="TableStyleMedium25" showFirstColumn="1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83B9F83-116B-4A0A-8BCE-7B11FDAACF8A}" name="Table12" displayName="Table12" ref="A65:E69" totalsRowCount="1" headerRowDxfId="1081" headerRowBorderDxfId="1088" tableBorderDxfId="1089" totalsRowBorderDxfId="1087" headerRowCellStyle="style1574674158919">
  <autoFilter ref="A65:E68" xr:uid="{52E0219A-7C7E-4147-ABF1-C0CA780F4825}"/>
  <tableColumns count="5">
    <tableColumn id="1" xr3:uid="{0D347AD8-0D67-4D60-AA61-04D1018361FA}" name="Response" totalsRowLabel="Total" dataDxfId="1086" totalsRowDxfId="1080" dataCellStyle="style1574674159011" totalsRowCellStyle="style1574674159011"/>
    <tableColumn id="2" xr3:uid="{BEC57AAE-1E96-4FBB-AF05-6AFA9268DFD4}" name="Pre Count" totalsRowFunction="sum" dataDxfId="1085" totalsRowDxfId="1078" dataCellStyle="style1574674161814"/>
    <tableColumn id="3" xr3:uid="{A1BD6C0F-989B-4F7C-B6A4-4F7C8006E687}" name="Pre Count %" totalsRowFunction="sum" dataDxfId="1084" totalsRowDxfId="1077" dataCellStyle="style1574674161875"/>
    <tableColumn id="4" xr3:uid="{6AD5374F-2F45-4A02-A58E-6D554A50426D}" name="Post Count" totalsRowFunction="sum" dataDxfId="1083" totalsRowDxfId="1076" dataCellStyle="style1574674161938"/>
    <tableColumn id="5" xr3:uid="{02755E85-ABF1-441D-A8D8-902DF5E42D5A}" name="Post Count %" totalsRowFunction="sum" dataDxfId="1082" totalsRowDxfId="1079" dataCellStyle="style1574674161985" totalsRowCellStyle="style1574674161985"/>
  </tableColumns>
  <tableStyleInfo name="TableStyleMedium25" showFirstColumn="1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CBB7AEF-A37B-4F93-B98B-FA104FD1F334}" name="Table13" displayName="Table13" ref="A72:E76" totalsRowCount="1" headerRowDxfId="1072" headerRowBorderDxfId="1074" tableBorderDxfId="1075" totalsRowBorderDxfId="1073" headerRowCellStyle="style1574674158919">
  <autoFilter ref="A72:E75" xr:uid="{00B8FC7A-DED5-46F4-9EAE-7E1D933DB2C2}"/>
  <tableColumns count="5">
    <tableColumn id="1" xr3:uid="{C0061DB4-305B-49D6-B67D-EE782739AB7F}" name="Response" totalsRowLabel="Total" dataDxfId="651" totalsRowDxfId="650" dataCellStyle="style1574674159011" totalsRowCellStyle="style1574674159011"/>
    <tableColumn id="2" xr3:uid="{6B1052DC-831F-4CA0-82D7-143A699616B2}" name="Pre Count" totalsRowFunction="sum" dataDxfId="649" totalsRowDxfId="648" dataCellStyle="style1574674161814"/>
    <tableColumn id="3" xr3:uid="{F07AF11F-827F-4F25-B674-26439018C9AA}" name="Pre Count %" totalsRowFunction="sum" dataDxfId="647" totalsRowDxfId="646" dataCellStyle="style1574674161875"/>
    <tableColumn id="4" xr3:uid="{C47DD2DE-A7F2-4C66-BD38-FB4B729B9CAD}" name="Post Count" totalsRowFunction="sum" dataDxfId="645" totalsRowDxfId="644" dataCellStyle="style1574674161938"/>
    <tableColumn id="5" xr3:uid="{F8D4F74A-CD2F-4040-B28D-1A623152821E}" name="Post Count %" totalsRowFunction="sum" dataDxfId="643" totalsRowDxfId="642" dataCellStyle="style1574674161985" totalsRowCellStyle="style1574674161985"/>
  </tableColumns>
  <tableStyleInfo name="TableStyleMedium25" showFirstColumn="1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1B3B3BE-4E6E-4165-B5EE-5DD182FFBF90}" name="Table14" displayName="Table14" ref="A79:E83" totalsRowCount="1" headerRowDxfId="1063" headerRowBorderDxfId="1070" tableBorderDxfId="1071" totalsRowBorderDxfId="1069" headerRowCellStyle="style1574674158919">
  <autoFilter ref="A79:E82" xr:uid="{26C9F260-4F3C-4C95-93EA-D0511549EF0C}"/>
  <tableColumns count="5">
    <tableColumn id="1" xr3:uid="{14C2EA08-E321-431B-854C-6E34EE3AEE5B}" name="Response" totalsRowLabel="Total" dataDxfId="1068" totalsRowDxfId="1062" dataCellStyle="style1574674159011" totalsRowCellStyle="style1574674159011"/>
    <tableColumn id="2" xr3:uid="{BB752664-8AA9-4F77-91FD-A02663E33592}" name="Pre Count" totalsRowFunction="sum" dataDxfId="1067" totalsRowDxfId="1060" dataCellStyle="style1574674161814"/>
    <tableColumn id="3" xr3:uid="{AF829A54-5636-4C71-98DE-1197DA599C04}" name="Pre Count %" totalsRowFunction="sum" dataDxfId="1066" totalsRowDxfId="1059" dataCellStyle="style1574674161875"/>
    <tableColumn id="4" xr3:uid="{F42AEEAD-9197-4DBE-BDED-E7BD904CE6D7}" name="Post Count" totalsRowFunction="sum" dataDxfId="1065" totalsRowDxfId="1058" dataCellStyle="style1574674161938"/>
    <tableColumn id="5" xr3:uid="{AA9A7811-26DF-4F8B-8395-1004EEB9FA5A}" name="Post Count %" totalsRowFunction="sum" dataDxfId="1064" totalsRowDxfId="1061" dataCellStyle="style1574674161985" totalsRowCellStyle="style1574674161985"/>
  </tableColumns>
  <tableStyleInfo name="TableStyleMedium25" showFirstColumn="1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10F3A17-A5A5-4A70-8CF1-D0FCABB25163}" name="Table15" displayName="Table15" ref="A86:E91" totalsRowCount="1" headerRowDxfId="1049" headerRowBorderDxfId="1056" tableBorderDxfId="1057" totalsRowBorderDxfId="1055" headerRowCellStyle="style1574674158919">
  <autoFilter ref="A86:E90" xr:uid="{9015DCD0-D979-49D5-BA01-B86186797FA9}"/>
  <tableColumns count="5">
    <tableColumn id="1" xr3:uid="{2A2D16E2-586D-4E27-8A6A-82C57194A394}" name="Response" totalsRowLabel="Total" dataDxfId="1054" totalsRowDxfId="1048" dataCellStyle="style1574674159011" totalsRowCellStyle="style1574674159011"/>
    <tableColumn id="2" xr3:uid="{BDF6C556-D3E8-4FAC-ACB1-FDCA2D9FBBC9}" name="Pre Count" totalsRowFunction="sum" dataDxfId="1053" totalsRowDxfId="1046" dataCellStyle="style1574674161814"/>
    <tableColumn id="3" xr3:uid="{DC621E81-A772-42AB-8C70-76F472009394}" name="Pre Count %" totalsRowFunction="sum" dataDxfId="1052" totalsRowDxfId="1045" dataCellStyle="style1574674161875"/>
    <tableColumn id="4" xr3:uid="{25C02D53-C589-4EB9-9A13-92124B763490}" name="Post Count" totalsRowFunction="sum" dataDxfId="1051" totalsRowDxfId="1044" dataCellStyle="style1574674161938"/>
    <tableColumn id="5" xr3:uid="{D34B9DA9-991F-4211-A246-9A9737BC57C4}" name="Post Count %" totalsRowFunction="sum" dataDxfId="1050" totalsRowDxfId="1047" dataCellStyle="style1574674161985" totalsRowCellStyle="style1574674161985"/>
  </tableColumns>
  <tableStyleInfo name="TableStyleMedium25" showFirstColumn="1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FC967F4-4BC0-4608-8224-87FB2B689059}" name="Table16" displayName="Table16" ref="A94:E100" totalsRowCount="1" headerRowDxfId="1035" headerRowBorderDxfId="1042" tableBorderDxfId="1043" totalsRowBorderDxfId="1041" headerRowCellStyle="style1574674158919">
  <autoFilter ref="A94:E99" xr:uid="{782C7639-10A9-4F2A-AC10-0A691DF7EC50}"/>
  <tableColumns count="5">
    <tableColumn id="1" xr3:uid="{7C3EC2FF-77A5-4CA8-9544-2B25CAC51D3F}" name="Response" totalsRowLabel="Total" dataDxfId="1040" totalsRowDxfId="1034" dataCellStyle="style1574674159011" totalsRowCellStyle="style1574674159011"/>
    <tableColumn id="2" xr3:uid="{A8D5FC07-75BB-4169-B2D9-A9B9998F8B37}" name="Pre Count" totalsRowFunction="sum" dataDxfId="1039" totalsRowDxfId="1032" dataCellStyle="style1574674161814"/>
    <tableColumn id="3" xr3:uid="{C389AF2C-60A8-4A12-9826-CAE8CAEF5A7F}" name="Pre Count %" totalsRowFunction="sum" dataDxfId="1038" totalsRowDxfId="1031" dataCellStyle="style1574674161875"/>
    <tableColumn id="4" xr3:uid="{0DECE861-56F2-4300-BCDC-FB659A6ED0A2}" name="Post Count" totalsRowFunction="sum" dataDxfId="1037" totalsRowDxfId="1030" dataCellStyle="style1574674161938"/>
    <tableColumn id="5" xr3:uid="{4438F4F1-5F83-42F2-9617-8F7527CA95E6}" name="Post Count %" totalsRowFunction="sum" dataDxfId="1036" totalsRowDxfId="1033" dataCellStyle="style1574674161985" totalsRowCellStyle="style1574674161985"/>
  </tableColumns>
  <tableStyleInfo name="TableStyleMedium25" showFirstColumn="1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853EAB9-A36A-4230-90DC-7B59BD670AD6}" name="Table17" displayName="Table17" ref="A103:E109" totalsRowCount="1" headerRowDxfId="1021" headerRowBorderDxfId="1028" tableBorderDxfId="1029" totalsRowBorderDxfId="1027" headerRowCellStyle="style1574674158919">
  <autoFilter ref="A103:E108" xr:uid="{682F4F1C-F203-446E-835E-19086A496227}"/>
  <tableColumns count="5">
    <tableColumn id="1" xr3:uid="{95405BF1-6A8A-47FB-8CF8-626CFF2ACD3E}" name="Response" totalsRowLabel="Total" dataDxfId="1026" totalsRowDxfId="1020" dataCellStyle="style1574674159011" totalsRowCellStyle="style1574674159011"/>
    <tableColumn id="2" xr3:uid="{E32709B2-A06B-4F00-A732-14C61FD46EF5}" name="Pre Count" totalsRowFunction="sum" dataDxfId="1025" totalsRowDxfId="1018" dataCellStyle="style1574674161814"/>
    <tableColumn id="3" xr3:uid="{F72B0AA3-255B-4928-89A8-E6CFB30C7B64}" name="Pre Count %" totalsRowFunction="sum" dataDxfId="1024" totalsRowDxfId="1017" dataCellStyle="style1574674161875"/>
    <tableColumn id="4" xr3:uid="{2F88E5C2-8875-49D9-8F9C-F95E0863B674}" name="Post Count" totalsRowFunction="sum" dataDxfId="1023" totalsRowDxfId="1016" dataCellStyle="style1574674161938"/>
    <tableColumn id="5" xr3:uid="{5A7F0D09-4337-470B-AF3B-827D0BFD2BC3}" name="Post Count %" totalsRowFunction="sum" dataDxfId="1022" totalsRowDxfId="1019" dataCellStyle="style1574674161985" totalsRowCellStyle="style1574674161985"/>
  </tableColumns>
  <tableStyleInfo name="TableStyleMedium25" showFirstColumn="1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6ACA8B7-CB6E-4072-A740-E196025CFA0F}" name="Table18" displayName="Table18" ref="A112:E118" totalsRowCount="1" headerRowDxfId="1007" headerRowBorderDxfId="1014" tableBorderDxfId="1015" totalsRowBorderDxfId="1013" headerRowCellStyle="style1574674158919">
  <autoFilter ref="A112:E117" xr:uid="{DE5C6C17-AAAC-4BE9-828C-06509A1D6474}"/>
  <tableColumns count="5">
    <tableColumn id="1" xr3:uid="{8564D494-D66A-418C-9C6F-661B7A4E27A6}" name="Response" totalsRowLabel="Total" dataDxfId="1012" totalsRowDxfId="1006" dataCellStyle="style1574674159011" totalsRowCellStyle="style1574674159011"/>
    <tableColumn id="2" xr3:uid="{13A97732-AB04-41DB-8D36-32CFD77F63DF}" name="Pre Count" totalsRowFunction="sum" dataDxfId="1011" totalsRowDxfId="1004" dataCellStyle="style1574674161814"/>
    <tableColumn id="3" xr3:uid="{C8FF8F9A-1C2B-4667-9D66-4A82FE5144EE}" name="Pre Count %" totalsRowFunction="sum" dataDxfId="1010" totalsRowDxfId="1003" dataCellStyle="style1574674161875"/>
    <tableColumn id="4" xr3:uid="{3CEBEFAC-D1DB-409A-8B80-D9D5F26CAD4F}" name="Post Count" totalsRowFunction="sum" dataDxfId="1009" totalsRowDxfId="1002" dataCellStyle="style1574674161938"/>
    <tableColumn id="5" xr3:uid="{804A7D01-7B1F-43D9-B82A-105158F96D2C}" name="Post Count %" totalsRowFunction="sum" dataDxfId="1008" totalsRowDxfId="1005" dataCellStyle="style1574674161985" totalsRowCellStyle="style1574674161985"/>
  </tableColumns>
  <tableStyleInfo name="TableStyleMedium25" showFirstColumn="1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C68632-E864-4893-93B6-A2DA7B3DBC22}" name="Table19" displayName="Table19" ref="A121:E127" totalsRowCount="1" headerRowDxfId="993" headerRowBorderDxfId="1000" tableBorderDxfId="1001" totalsRowBorderDxfId="999" headerRowCellStyle="style1574674158919">
  <autoFilter ref="A121:E126" xr:uid="{12F62B37-78F8-4A91-B22D-C2FD3FAFF556}"/>
  <tableColumns count="5">
    <tableColumn id="1" xr3:uid="{4ED972D9-A911-405C-B3E8-9EDCF5BCF569}" name="Response" totalsRowLabel="Total" dataDxfId="998" totalsRowDxfId="992" dataCellStyle="style1574674159011" totalsRowCellStyle="style1574674159011"/>
    <tableColumn id="2" xr3:uid="{6589ED6B-72B1-476C-A858-ABBB347884DE}" name="Pre Count" totalsRowFunction="sum" dataDxfId="997" totalsRowDxfId="990" dataCellStyle="style1574674161814"/>
    <tableColumn id="3" xr3:uid="{06D9934D-CE02-4F81-8C14-EACF844CFAA5}" name="Pre Count %" totalsRowFunction="sum" dataDxfId="996" totalsRowDxfId="989" dataCellStyle="style1574674161875"/>
    <tableColumn id="4" xr3:uid="{E0600765-6C35-48BC-9192-B16C66B0982A}" name="Post Count" totalsRowFunction="sum" dataDxfId="995" totalsRowDxfId="988" dataCellStyle="style1574674161938"/>
    <tableColumn id="5" xr3:uid="{00FD6D66-1BBB-49F6-BB74-23BEBEF052F0}" name="Post Count %" totalsRowFunction="sum" dataDxfId="994" totalsRowDxfId="991" dataCellStyle="style1574674161985" totalsRowCellStyle="style1574674161985"/>
  </tableColumns>
  <tableStyleInfo name="TableStyleMedium25" showFirstColumn="1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28A51CEA-90A0-4098-A9E4-71CAB83888ED}" name="Table20" displayName="Table20" ref="A130:E136" totalsRowCount="1" headerRowDxfId="979" headerRowBorderDxfId="986" tableBorderDxfId="987" totalsRowBorderDxfId="985" headerRowCellStyle="style1574674158919">
  <autoFilter ref="A130:E135" xr:uid="{9AF0ACBD-24BC-4337-BFA3-342A829F7E18}"/>
  <tableColumns count="5">
    <tableColumn id="1" xr3:uid="{45F68B42-BD96-4157-9272-210CE16CF6EF}" name="Response" totalsRowLabel="Total" dataDxfId="984" totalsRowDxfId="978" dataCellStyle="style1574674159011" totalsRowCellStyle="style1574674159011"/>
    <tableColumn id="2" xr3:uid="{6246B1AD-5369-4B3A-AF8F-8633F89C6ADD}" name="Pre Count" totalsRowFunction="sum" dataDxfId="983" totalsRowDxfId="976" dataCellStyle="style1574674161814"/>
    <tableColumn id="3" xr3:uid="{A5EBDA3C-80BD-4961-8E6D-AF170CE64503}" name="Pre Count %" totalsRowFunction="sum" dataDxfId="982" totalsRowDxfId="975" dataCellStyle="style1574674161875"/>
    <tableColumn id="4" xr3:uid="{7829188B-881F-49CE-856C-5941B6A79FCC}" name="Post Count" totalsRowFunction="sum" dataDxfId="981" totalsRowDxfId="974" dataCellStyle="style1574674161938"/>
    <tableColumn id="5" xr3:uid="{E33B6954-76D0-4B08-979D-29F099A2012A}" name="Post Count %" totalsRowFunction="sum" dataDxfId="980" totalsRowDxfId="977" dataCellStyle="style1574674161985" totalsRowCellStyle="style1574674161985"/>
  </tableColumns>
  <tableStyleInfo name="TableStyleMedium25" showFirstColumn="1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BDD6DB4-F58B-4DC9-92C7-7FFE9FE6055E}" name="Table21" displayName="Table21" ref="A139:E145" totalsRowCount="1" headerRowDxfId="965" headerRowBorderDxfId="972" tableBorderDxfId="973" totalsRowBorderDxfId="971" headerRowCellStyle="style1574674158919">
  <autoFilter ref="A139:E144" xr:uid="{6E2C7286-E3F9-4F2A-AA67-46BD54D7853B}"/>
  <tableColumns count="5">
    <tableColumn id="1" xr3:uid="{E6F2308D-DE32-4556-A618-CA8FEB43191B}" name="Response" totalsRowLabel="Total" dataDxfId="970" totalsRowDxfId="964" dataCellStyle="style1574674159011" totalsRowCellStyle="style1574674159011"/>
    <tableColumn id="2" xr3:uid="{F6C8CF1E-6B2D-434E-99A0-3FEE4DEC3672}" name="Pre Count" totalsRowFunction="sum" dataDxfId="969" totalsRowDxfId="962" dataCellStyle="style1574674161814"/>
    <tableColumn id="3" xr3:uid="{3D53F3FC-B352-40AF-9397-B5F8E95CC124}" name="Pre Count %" totalsRowFunction="sum" dataDxfId="968" totalsRowDxfId="961" dataCellStyle="style1574674161875"/>
    <tableColumn id="4" xr3:uid="{943AAF62-3B56-4CD7-902A-2C9FFC41594B}" name="Post Count" totalsRowFunction="sum" dataDxfId="967" totalsRowDxfId="960" dataCellStyle="style1574674161938"/>
    <tableColumn id="5" xr3:uid="{32E9F350-36A5-415E-AC75-706E1C717A4D}" name="Post Count %" totalsRowFunction="sum" dataDxfId="966" totalsRowDxfId="963" dataCellStyle="style1574674161985" totalsRowCellStyle="style1574674161985"/>
  </tableColumns>
  <tableStyleInfo name="TableStyleMedium25"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FFF628B-83FF-406C-B1FD-C4DE986B7E6C}" name="Table4" displayName="Table4" ref="A9:E13" totalsRowCount="1" headerRowDxfId="1201" headerRowBorderDxfId="1199" tableBorderDxfId="1200" totalsRowBorderDxfId="1198" headerRowCellStyle="style1574674158919">
  <autoFilter ref="A9:E12" xr:uid="{56E024E1-2F39-4C0A-8203-6E9F6A2446E4}"/>
  <tableColumns count="5">
    <tableColumn id="1" xr3:uid="{C2DC66A9-E1FB-4345-B7A7-C9FBEB6B1EC1}" name="Response" totalsRowLabel="Total" dataDxfId="1196" totalsRowDxfId="1197" dataCellStyle="style1574674159011"/>
    <tableColumn id="2" xr3:uid="{AAC1A8EC-9057-4DC9-9885-7F68B70C2585}" name="Pre Count" totalsRowFunction="sum" dataDxfId="1194" totalsRowDxfId="1195" dataCellStyle="style1574674161814"/>
    <tableColumn id="3" xr3:uid="{74131C05-B686-4040-B0D2-12B9D7C6B1CB}" name="Pre Count %" totalsRowFunction="sum" dataDxfId="1192" totalsRowDxfId="1193" dataCellStyle="style1574674161875"/>
    <tableColumn id="4" xr3:uid="{FF50F91C-5F6C-4999-8370-1E9DE3EBE672}" name="Post Count" totalsRowFunction="sum" dataDxfId="1190" totalsRowDxfId="1191" dataCellStyle="style1574674161938"/>
    <tableColumn id="5" xr3:uid="{16AE9D5C-1440-42C9-A2AA-D93C76ECC2CD}" name="Post Count %" totalsRowFunction="sum" dataDxfId="1188" totalsRowDxfId="1189" dataCellStyle="style1574674161985"/>
  </tableColumns>
  <tableStyleInfo name="TableStyleMedium25" showFirstColumn="1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725271A-E687-4302-BAD9-05278C6CE158}" name="Table22" displayName="Table22" ref="A148:E154" totalsRowCount="1" headerRowDxfId="951" headerRowBorderDxfId="958" tableBorderDxfId="959" totalsRowBorderDxfId="957" headerRowCellStyle="style1574674158919">
  <autoFilter ref="A148:E153" xr:uid="{C4796AA4-7684-4AD1-9C20-6BAD068096B4}"/>
  <tableColumns count="5">
    <tableColumn id="1" xr3:uid="{04278106-FD36-4985-B025-CCCCA9B2DC30}" name="Response" totalsRowLabel="Total" dataDxfId="956" totalsRowDxfId="950" dataCellStyle="style1574674159011" totalsRowCellStyle="style1574674159011"/>
    <tableColumn id="2" xr3:uid="{A7A7EEF6-7C61-4757-A4E7-18E3CA994CAC}" name="Pre Count" dataDxfId="955" totalsRowDxfId="949" dataCellStyle="style1574674161814" totalsRowCellStyle="style1574674161814"/>
    <tableColumn id="3" xr3:uid="{7ABC4D3C-3F14-448E-91DF-4C845E1F8336}" name="Pre Count %" dataDxfId="954" totalsRowDxfId="948" dataCellStyle="style1574674161875" totalsRowCellStyle="style1574674161875"/>
    <tableColumn id="4" xr3:uid="{4D3D34C8-9F09-42FF-BF7C-6D898D217972}" name="Post Count" dataDxfId="953" totalsRowDxfId="947" dataCellStyle="style1574674161938" totalsRowCellStyle="style1574674161938"/>
    <tableColumn id="5" xr3:uid="{07A95593-C67D-454F-AD56-B69918FE8B0E}" name="Post Count %" totalsRowFunction="sum" dataDxfId="952" totalsRowDxfId="946" dataCellStyle="style1574674161985" totalsRowCellStyle="style1574674161985"/>
  </tableColumns>
  <tableStyleInfo name="TableStyleMedium25" showFirstColumn="1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3BFD9F-CB54-414D-931B-3FE725B8D442}" name="Table23" displayName="Table23" ref="A157:E163" totalsRowCount="1" headerRowDxfId="937" headerRowBorderDxfId="944" tableBorderDxfId="945" totalsRowBorderDxfId="943" headerRowCellStyle="style1574674158919">
  <autoFilter ref="A157:E162" xr:uid="{BEAC1180-E843-4BE0-9499-5536837F32E1}"/>
  <tableColumns count="5">
    <tableColumn id="1" xr3:uid="{98A66A80-C185-4632-9318-0E52D07114F2}" name="Response" totalsRowLabel="Total" dataDxfId="942" totalsRowDxfId="936" dataCellStyle="style1574674159011" totalsRowCellStyle="style1574674159011"/>
    <tableColumn id="2" xr3:uid="{1E0F8F6C-26F0-4AF0-BD67-851EDCD19CA9}" name="Pre Count" totalsRowFunction="sum" dataDxfId="941" totalsRowDxfId="934" dataCellStyle="style1574674161814"/>
    <tableColumn id="3" xr3:uid="{1D762DFE-28CD-40E0-AF7C-9F1CE8BB7A7E}" name="Pre Count %" totalsRowFunction="sum" dataDxfId="940" totalsRowDxfId="933" dataCellStyle="style1574674161875"/>
    <tableColumn id="4" xr3:uid="{184F3E6E-3B49-41E0-8E13-F98561AB0FF0}" name="Post Count" totalsRowFunction="sum" dataDxfId="939" totalsRowDxfId="932" dataCellStyle="style1574674161938"/>
    <tableColumn id="5" xr3:uid="{10094F74-E239-4493-83E2-0DC5A88C91F0}" name="Post Count %" totalsRowFunction="sum" dataDxfId="938" totalsRowDxfId="935" dataCellStyle="style1574674161985" totalsRowCellStyle="style1574674161985"/>
  </tableColumns>
  <tableStyleInfo name="TableStyleMedium25" showFirstColumn="1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068DD15-173A-438A-AFD2-40E5F0142FC5}" name="Table24" displayName="Table24" ref="A166:E172" totalsRowCount="1" headerRowDxfId="923" headerRowBorderDxfId="930" tableBorderDxfId="931" totalsRowBorderDxfId="929" headerRowCellStyle="style1574674158919">
  <autoFilter ref="A166:E171" xr:uid="{F7F8D784-B087-4DE8-91E6-32D352732EDD}"/>
  <tableColumns count="5">
    <tableColumn id="1" xr3:uid="{C3F3EA1B-4004-48C0-BFB1-C490AA1425CB}" name="Response" totalsRowLabel="Total" dataDxfId="928" totalsRowDxfId="922" dataCellStyle="style1574674159011" totalsRowCellStyle="style1574674159011"/>
    <tableColumn id="2" xr3:uid="{F0F75AC4-18CF-4CBE-9F09-4ABC677B2FFA}" name="Pre Count" totalsRowFunction="sum" dataDxfId="927" totalsRowDxfId="920" dataCellStyle="style1574674161814"/>
    <tableColumn id="3" xr3:uid="{C42F3761-B282-4FFD-9C50-6A8D645C9594}" name="Pre Count %" totalsRowFunction="sum" dataDxfId="926" totalsRowDxfId="919" dataCellStyle="style1574674161875"/>
    <tableColumn id="4" xr3:uid="{DCBA1E87-9EA7-4C8F-909F-F319188ECCCD}" name="Post Count" totalsRowFunction="sum" dataDxfId="925" totalsRowDxfId="918" dataCellStyle="style1574674161938"/>
    <tableColumn id="5" xr3:uid="{53D7A24C-5DB1-47B4-A087-08FB9E6FE07C}" name="Post Count %" totalsRowFunction="sum" dataDxfId="924" totalsRowDxfId="921" dataCellStyle="style1574674161985" totalsRowCellStyle="style1574674161985"/>
  </tableColumns>
  <tableStyleInfo name="TableStyleMedium25" showFirstColumn="1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E9C15C7-E8A3-4421-83DF-065AAFBDB7A4}" name="Table25" displayName="Table25" ref="A175:E181" totalsRowCount="1" headerRowDxfId="909" headerRowBorderDxfId="916" tableBorderDxfId="917" totalsRowBorderDxfId="915" headerRowCellStyle="style1574674158919">
  <autoFilter ref="A175:E180" xr:uid="{A305803F-FB9B-4B11-B6B1-7C273390DFEA}"/>
  <tableColumns count="5">
    <tableColumn id="1" xr3:uid="{F69C39D2-1DCA-4112-9915-55F28C11A275}" name="Response" totalsRowLabel="Total" dataDxfId="914" totalsRowDxfId="908" dataCellStyle="style1574674159011" totalsRowCellStyle="style1574674159011"/>
    <tableColumn id="2" xr3:uid="{DA9D7365-62CB-469E-BF74-CC04DB7EED19}" name="Pre Count" totalsRowFunction="sum" dataDxfId="913" totalsRowDxfId="906" dataCellStyle="style1574674161814"/>
    <tableColumn id="3" xr3:uid="{64FA5CDA-C2B7-4189-A9C8-B09E20A6536E}" name="Pre Count %" totalsRowFunction="sum" dataDxfId="912" totalsRowDxfId="905" dataCellStyle="style1574674161875"/>
    <tableColumn id="4" xr3:uid="{089CCE2C-A705-4733-A096-61E57E6B8521}" name="Post Count" totalsRowFunction="sum" dataDxfId="911" totalsRowDxfId="904" dataCellStyle="style1574674161938"/>
    <tableColumn id="5" xr3:uid="{BC636C0D-26D5-4A40-82FF-A54412A94673}" name="Post Count %" totalsRowFunction="sum" dataDxfId="910" totalsRowDxfId="907" dataCellStyle="style1574674161985" totalsRowCellStyle="style1574674161985"/>
  </tableColumns>
  <tableStyleInfo name="TableStyleMedium25" showFirstColumn="1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3730B87-D2B4-42D1-849C-224828AF8E82}" name="Table26" displayName="Table26" ref="A184:E190" totalsRowCount="1" headerRowDxfId="895" headerRowBorderDxfId="902" tableBorderDxfId="903" totalsRowBorderDxfId="901" headerRowCellStyle="style1574674158919">
  <autoFilter ref="A184:E189" xr:uid="{B789C8A9-6114-4380-93E2-05C34BE36145}"/>
  <tableColumns count="5">
    <tableColumn id="1" xr3:uid="{7FF840F0-A6D5-47D0-8DBC-4F80FB173E5C}" name="Response" totalsRowLabel="Total" dataDxfId="900" totalsRowDxfId="894" dataCellStyle="style1574674159011" totalsRowCellStyle="style1574674159011"/>
    <tableColumn id="2" xr3:uid="{A909C325-4291-4B93-8B48-D9415858EA53}" name="Pre Count" totalsRowFunction="sum" dataDxfId="899" totalsRowDxfId="892" dataCellStyle="style1574674161814"/>
    <tableColumn id="3" xr3:uid="{4B47D8E2-296E-4E76-9A67-28623EA1030F}" name="Pre Count %" totalsRowFunction="sum" dataDxfId="898" totalsRowDxfId="891" dataCellStyle="style1574674161875"/>
    <tableColumn id="4" xr3:uid="{0CE143A1-505C-4AD6-AC7C-65A1DCD744F9}" name="Post Count" totalsRowFunction="sum" dataDxfId="897" totalsRowDxfId="890" dataCellStyle="style1574674161938"/>
    <tableColumn id="5" xr3:uid="{E16DC1D1-2DE1-487A-90AA-88585EDA5353}" name="Post Count %" totalsRowFunction="sum" dataDxfId="896" totalsRowDxfId="893" dataCellStyle="style1574674161985" totalsRowCellStyle="style1574674161985"/>
  </tableColumns>
  <tableStyleInfo name="TableStyleMedium25" showFirstColumn="1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52533AD-B245-45EE-A42C-9EC01DA686F5}" name="Table27" displayName="Table27" ref="A193:E199" totalsRowCount="1" headerRowDxfId="881" headerRowBorderDxfId="888" tableBorderDxfId="889" totalsRowBorderDxfId="887" headerRowCellStyle="style1574674158919">
  <autoFilter ref="A193:E198" xr:uid="{DFE1054B-20BE-4E1D-9B60-D46EBBCD5A05}"/>
  <tableColumns count="5">
    <tableColumn id="1" xr3:uid="{046D8677-8CC2-4FF9-B0A5-AF0AE2E74AC6}" name="Response" totalsRowLabel="Total" dataDxfId="886" totalsRowDxfId="880" dataCellStyle="style1574674159011" totalsRowCellStyle="style1574674159011"/>
    <tableColumn id="2" xr3:uid="{D720F400-2D3E-4059-8451-73590D504929}" name="Pre Count" totalsRowFunction="sum" dataDxfId="885" totalsRowDxfId="878" dataCellStyle="style1574674161814"/>
    <tableColumn id="3" xr3:uid="{39BF9E8E-5126-4B27-B148-278B12DADB6A}" name="Pre Count %" totalsRowFunction="sum" dataDxfId="884" totalsRowDxfId="877" dataCellStyle="style1574674161875"/>
    <tableColumn id="4" xr3:uid="{23340702-BD8D-4C1F-994A-B3BA7302C319}" name="Post Count" totalsRowFunction="sum" dataDxfId="883" totalsRowDxfId="876" dataCellStyle="style1574674161938"/>
    <tableColumn id="5" xr3:uid="{77F2697F-38CE-43EE-86DB-C14356B71DA6}" name="Post Count %" totalsRowFunction="sum" dataDxfId="882" totalsRowDxfId="879" dataCellStyle="style1574674161985" totalsRowCellStyle="style1574674161985"/>
  </tableColumns>
  <tableStyleInfo name="TableStyleMedium25" showFirstColumn="1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FD9B4E4-EB69-4C8A-9004-AB45DE2F9C7F}" name="Table28" displayName="Table28" ref="A202:E208" totalsRowCount="1" headerRowDxfId="867" headerRowBorderDxfId="874" tableBorderDxfId="875" totalsRowBorderDxfId="873" headerRowCellStyle="style1574674158919">
  <autoFilter ref="A202:E207" xr:uid="{1EC891CF-81BB-4404-AB3F-35C9DF0BE17E}"/>
  <tableColumns count="5">
    <tableColumn id="1" xr3:uid="{517A768A-95D9-4A95-B279-A4B595672339}" name="Response" totalsRowLabel="Total" dataDxfId="872" totalsRowDxfId="866" dataCellStyle="style1574674159011" totalsRowCellStyle="style1574674159011"/>
    <tableColumn id="2" xr3:uid="{7B9DD759-16D0-4E92-A1DF-1F555673FBAC}" name="Pre Count" totalsRowFunction="sum" dataDxfId="871" totalsRowDxfId="864" dataCellStyle="style1574674161814"/>
    <tableColumn id="3" xr3:uid="{899E0D76-81ED-4A1A-9720-D44C463C3053}" name="Pre Count %" totalsRowFunction="sum" dataDxfId="870" totalsRowDxfId="863" dataCellStyle="style1574674161875"/>
    <tableColumn id="4" xr3:uid="{BB289677-EE20-4254-B727-D37668ADD638}" name="Post Count" totalsRowFunction="sum" dataDxfId="869" totalsRowDxfId="862" dataCellStyle="style1574674161938"/>
    <tableColumn id="5" xr3:uid="{9D934683-9F33-4AC6-878F-158123292983}" name="Post Count %" totalsRowFunction="sum" dataDxfId="868" totalsRowDxfId="865" dataCellStyle="style1574674161985" totalsRowCellStyle="style1574674161985"/>
  </tableColumns>
  <tableStyleInfo name="TableStyleMedium25" showFirstColumn="0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25E5A53-EF41-4DB0-A574-FD7DC93948EF}" name="Table29" displayName="Table29" ref="A211:E217" totalsRowCount="1" headerRowDxfId="853" headerRowBorderDxfId="860" tableBorderDxfId="861" totalsRowBorderDxfId="859" headerRowCellStyle="style1574674158919">
  <autoFilter ref="A211:E216" xr:uid="{04554E26-CF64-4F5D-8545-C3A4A78299B8}"/>
  <tableColumns count="5">
    <tableColumn id="1" xr3:uid="{9C3A7DEA-BF6B-4D4C-9888-BEE349235C5C}" name="Response" totalsRowLabel="Total" dataDxfId="858" totalsRowDxfId="852" dataCellStyle="style1574674159011" totalsRowCellStyle="style1574674159011"/>
    <tableColumn id="2" xr3:uid="{926EC9AF-DEE5-4EC2-BBA9-060FD0B24067}" name="Pre Count" totalsRowFunction="sum" dataDxfId="857" totalsRowDxfId="850" dataCellStyle="style1574674161814"/>
    <tableColumn id="3" xr3:uid="{5976566B-469C-4524-BF0C-EBFFDACC70D5}" name="Pre Count %" totalsRowFunction="sum" dataDxfId="856" totalsRowDxfId="849" dataCellStyle="style1574674161875"/>
    <tableColumn id="4" xr3:uid="{EA53EF04-59A2-410A-8196-17B6AE0BB975}" name="Post Count" totalsRowFunction="sum" dataDxfId="855" totalsRowDxfId="848" dataCellStyle="style1574674161938"/>
    <tableColumn id="5" xr3:uid="{2C53162B-8683-4D0C-8DDC-7FFEB337F99C}" name="Post Count %" totalsRowFunction="sum" dataDxfId="854" totalsRowDxfId="851" dataCellStyle="style1574674161985" totalsRowCellStyle="style1574674161985"/>
  </tableColumns>
  <tableStyleInfo name="TableStyleMedium25" showFirstColumn="1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7C089402-F365-4773-B9A6-B641843C6E77}" name="Table30" displayName="Table30" ref="A220:E226" totalsRowCount="1" headerRowDxfId="839" headerRowBorderDxfId="846" tableBorderDxfId="847" totalsRowBorderDxfId="845" headerRowCellStyle="style1574674158919">
  <autoFilter ref="A220:E225" xr:uid="{4481FF41-A99C-49B6-AC88-2BE4020CA0C4}"/>
  <tableColumns count="5">
    <tableColumn id="1" xr3:uid="{006A789C-8394-4F3F-A02C-E5391A791DE2}" name="Response" totalsRowLabel="Total" dataDxfId="844" totalsRowDxfId="838" dataCellStyle="style1574674159011" totalsRowCellStyle="style1574674159011"/>
    <tableColumn id="2" xr3:uid="{90B2F696-7957-4F2E-BD0C-E29809A9C642}" name="Pre Count" totalsRowFunction="sum" dataDxfId="843" totalsRowDxfId="836" dataCellStyle="style1574674161814"/>
    <tableColumn id="3" xr3:uid="{D928B3E9-42F4-4C85-952C-33AA14D65EEC}" name="Pre Count %" totalsRowFunction="sum" dataDxfId="842" totalsRowDxfId="835" dataCellStyle="style1574674161875"/>
    <tableColumn id="4" xr3:uid="{A3E8FC9F-2F04-455F-9025-2B3E61F5D6BA}" name="Post Count" totalsRowFunction="sum" dataDxfId="841" totalsRowDxfId="834" dataCellStyle="style1574674161938"/>
    <tableColumn id="5" xr3:uid="{EA0C67EC-B76C-406B-8480-B0C422C70EEE}" name="Post Count %" totalsRowFunction="sum" dataDxfId="840" totalsRowDxfId="837" dataCellStyle="style1574674161985" totalsRowCellStyle="style1574674161985"/>
  </tableColumns>
  <tableStyleInfo name="TableStyleMedium25" showFirstColumn="1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C532F729-D162-4DAC-95FB-9D355EF8ED91}" name="Table31" displayName="Table31" ref="A229:E235" totalsRowCount="1" headerRowDxfId="825" headerRowBorderDxfId="832" tableBorderDxfId="833" totalsRowBorderDxfId="831" headerRowCellStyle="style1574674158919">
  <autoFilter ref="A229:E234" xr:uid="{E64BE3E2-4440-4250-9552-CFB60A4C8F31}"/>
  <tableColumns count="5">
    <tableColumn id="1" xr3:uid="{FE4A7182-120E-4ACA-9581-56FD919A7700}" name="Response" totalsRowLabel="Total" dataDxfId="830" totalsRowDxfId="824" dataCellStyle="style1574674159011" totalsRowCellStyle="style1574674159011"/>
    <tableColumn id="2" xr3:uid="{8B656ADC-D5D7-466F-A6AC-A9C2F13F0050}" name="Pre Count" totalsRowFunction="sum" dataDxfId="829" totalsRowDxfId="822" dataCellStyle="style1574674161814"/>
    <tableColumn id="3" xr3:uid="{2A59696E-B092-41A7-B244-5FC700C74E18}" name="Pre Count %" totalsRowFunction="sum" dataDxfId="828" totalsRowDxfId="821" dataCellStyle="style1574674161875"/>
    <tableColumn id="4" xr3:uid="{2C492935-CF0F-450C-910E-A4A68C43C670}" name="Post Count" totalsRowFunction="sum" dataDxfId="827" totalsRowDxfId="820" dataCellStyle="style1574674161938"/>
    <tableColumn id="5" xr3:uid="{E507CD2D-CBBB-495C-97E6-613C8D476850}" name="Post Count %" totalsRowFunction="sum" dataDxfId="826" totalsRowDxfId="823" dataCellStyle="style1574674161985" totalsRowCellStyle="style1574674161985"/>
  </tableColumns>
  <tableStyleInfo name="TableStyleMedium25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AF2C782-AF1F-4F04-A40D-A05D96E6567C}" name="Table5" displayName="Table5" ref="A16:E20" totalsRowCount="1" headerRowDxfId="1179" headerRowBorderDxfId="1186" tableBorderDxfId="1187" totalsRowBorderDxfId="1185" headerRowCellStyle="style1574674158919">
  <autoFilter ref="A16:E19" xr:uid="{704AE803-BC2F-4F2F-A54D-7162716788CB}"/>
  <tableColumns count="5">
    <tableColumn id="1" xr3:uid="{F8879280-77C6-4BB2-A28E-5400B843C7D0}" name="Response" totalsRowLabel="Total" dataDxfId="1184" totalsRowDxfId="1178" dataCellStyle="style1574674159011" totalsRowCellStyle="style1574674159011"/>
    <tableColumn id="2" xr3:uid="{CD1EC908-5B9C-4034-B071-AF71A4AFCA7A}" name="Pre Count" totalsRowFunction="sum" dataDxfId="1183" totalsRowDxfId="1176" dataCellStyle="style1574674161814"/>
    <tableColumn id="3" xr3:uid="{DF375666-ECF4-4B6F-AB1C-D172F223BC81}" name="Pre Count %" totalsRowFunction="sum" dataDxfId="1182" totalsRowDxfId="1175" dataCellStyle="style1574674161875"/>
    <tableColumn id="4" xr3:uid="{328DF000-CA0C-4B3E-8927-D0F7E2DE17FB}" name="Post Count" totalsRowFunction="sum" dataDxfId="1181" totalsRowDxfId="1174" dataCellStyle="style1574674161938"/>
    <tableColumn id="5" xr3:uid="{A70B2BA2-682C-4235-A907-4224BAF42938}" name="Post Count %" totalsRowFunction="sum" dataDxfId="1180" totalsRowDxfId="1177" dataCellStyle="style1574674161985" totalsRowCellStyle="style1574674161985"/>
  </tableColumns>
  <tableStyleInfo name="TableStyleMedium25" showFirstColumn="1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1AEC215-1A59-4787-A359-BA02E588D49E}" name="Table32" displayName="Table32" ref="A238:E244" totalsRowCount="1" headerRowDxfId="811" headerRowBorderDxfId="818" tableBorderDxfId="819" totalsRowBorderDxfId="817" headerRowCellStyle="style1574674158919">
  <autoFilter ref="A238:E243" xr:uid="{A0E93EB6-EAF4-43FA-BE4C-5304D7551631}"/>
  <tableColumns count="5">
    <tableColumn id="1" xr3:uid="{5F8C601A-3EC1-4F3A-94AC-A2ADBAD68305}" name="Response" totalsRowLabel="Total" dataDxfId="816" totalsRowDxfId="810" dataCellStyle="style1574674159011" totalsRowCellStyle="style1574674159011"/>
    <tableColumn id="2" xr3:uid="{BD4FA521-4EC6-46E5-ADC0-AEE8F74D7D09}" name="Pre Count" totalsRowFunction="sum" dataDxfId="815" totalsRowDxfId="808" dataCellStyle="style1574674161814"/>
    <tableColumn id="3" xr3:uid="{CD7AE00D-1865-4AAE-91B3-715838E31FF8}" name="Pre Count %" totalsRowFunction="sum" dataDxfId="814" totalsRowDxfId="807" dataCellStyle="style1574674161875"/>
    <tableColumn id="4" xr3:uid="{CC07DC89-97AD-46A9-9DFE-5BBC19027B81}" name="Post Count" totalsRowFunction="sum" dataDxfId="813" totalsRowDxfId="806" dataCellStyle="style1574674161938"/>
    <tableColumn id="5" xr3:uid="{2D29021B-1672-426A-953D-EE2B739E0ECB}" name="Post Count %" totalsRowFunction="sum" dataDxfId="812" totalsRowDxfId="809" dataCellStyle="style1574674161985" totalsRowCellStyle="style1574674161985"/>
  </tableColumns>
  <tableStyleInfo name="TableStyleMedium25" showFirstColumn="1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B4A4F557-B58F-4D6F-8738-616A3FB7C4F1}" name="Table33" displayName="Table33" ref="A247:E253" totalsRowCount="1" headerRowDxfId="797" headerRowBorderDxfId="804" tableBorderDxfId="805" totalsRowBorderDxfId="803" headerRowCellStyle="style1574674158919">
  <autoFilter ref="A247:E252" xr:uid="{0CADBDF2-E154-460E-9319-24096DBC2C4C}"/>
  <tableColumns count="5">
    <tableColumn id="1" xr3:uid="{E1378305-0C0D-4586-AA0F-DDCB804B7DAF}" name="Response" totalsRowLabel="Total" dataDxfId="802" totalsRowDxfId="796" dataCellStyle="style1574674159011" totalsRowCellStyle="style1574674159011"/>
    <tableColumn id="2" xr3:uid="{064413A2-8BA5-4E66-978F-F48D40207A56}" name="Pre Count" totalsRowFunction="sum" dataDxfId="801" totalsRowDxfId="794" dataCellStyle="style1574674161814"/>
    <tableColumn id="3" xr3:uid="{32136811-BD9F-4246-B948-E5050D4E3500}" name="Pre Count %" totalsRowFunction="sum" dataDxfId="800" totalsRowDxfId="793" dataCellStyle="style1574674161875"/>
    <tableColumn id="4" xr3:uid="{076BA6AE-AA42-4B9C-91D0-B120A9344E93}" name="Post Count" totalsRowFunction="sum" dataDxfId="799" totalsRowDxfId="792" dataCellStyle="style1574674161938"/>
    <tableColumn id="5" xr3:uid="{52189ADF-8D86-47DB-8D9D-B0AC891BB376}" name="Post Count %" totalsRowFunction="sum" dataDxfId="798" totalsRowDxfId="795" dataCellStyle="style1574674161985" totalsRowCellStyle="style1574674161985"/>
  </tableColumns>
  <tableStyleInfo name="TableStyleMedium25" showFirstColumn="1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8070050F-EB14-431D-A281-42C664B9AEA0}" name="Table34" displayName="Table34" ref="A256:E262" totalsRowCount="1" headerRowDxfId="783" headerRowBorderDxfId="790" tableBorderDxfId="791" totalsRowBorderDxfId="789" headerRowCellStyle="style1574674158919">
  <autoFilter ref="A256:E261" xr:uid="{762A587E-0931-4A88-B245-B26ABEDCC177}"/>
  <tableColumns count="5">
    <tableColumn id="1" xr3:uid="{AE7CD573-9D08-4116-BDAC-C0775313F057}" name="Response" totalsRowLabel="Total" dataDxfId="788" totalsRowDxfId="782" dataCellStyle="style1574674159011" totalsRowCellStyle="style1574674159011"/>
    <tableColumn id="2" xr3:uid="{70725397-7E86-411B-B638-98EE08CD9E12}" name="Pre Count" totalsRowFunction="sum" dataDxfId="787" totalsRowDxfId="780" dataCellStyle="style1574674161814"/>
    <tableColumn id="3" xr3:uid="{BFD6427D-3755-4D81-AB3D-898EB8E060EB}" name="Pre Count %" totalsRowFunction="sum" dataDxfId="786" totalsRowDxfId="779" dataCellStyle="style1574674161875"/>
    <tableColumn id="4" xr3:uid="{84AB1045-0138-4BCB-AB65-45474CBABD11}" name="Post Count" totalsRowFunction="sum" dataDxfId="785" totalsRowDxfId="778" dataCellStyle="style1574674161938"/>
    <tableColumn id="5" xr3:uid="{C2AD83EC-1ECB-4D9B-AA39-81FF0FFAA3D4}" name="Post Count %" totalsRowFunction="sum" dataDxfId="784" totalsRowDxfId="781" dataCellStyle="style1574674161985" totalsRowCellStyle="style1574674161985"/>
  </tableColumns>
  <tableStyleInfo name="TableStyleMedium25" showFirstColumn="1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6C42766-691F-48D5-9F1A-DAEBFAB07D06}" name="Table35" displayName="Table35" ref="A265:E271" totalsRowCount="1" headerRowDxfId="769" headerRowBorderDxfId="776" tableBorderDxfId="777" totalsRowBorderDxfId="775" headerRowCellStyle="style1574674158919">
  <autoFilter ref="A265:E270" xr:uid="{602470F2-6FFE-4332-B4C4-934DE1F7D6FD}"/>
  <tableColumns count="5">
    <tableColumn id="1" xr3:uid="{8DCA4A8F-5E39-4DE0-BB3B-DD011FE8A235}" name="Response" totalsRowLabel="Total" dataDxfId="774" totalsRowDxfId="768" dataCellStyle="style1574674159011" totalsRowCellStyle="style1574674159011"/>
    <tableColumn id="2" xr3:uid="{0918DE77-65FE-4BBB-855B-8F94EE8F74E7}" name="Pre Count" totalsRowFunction="sum" dataDxfId="773" totalsRowDxfId="766" dataCellStyle="style1574674161814"/>
    <tableColumn id="3" xr3:uid="{D8AC16CF-C2DC-4064-9094-46DD07BD9666}" name="Pre Count %" totalsRowFunction="sum" dataDxfId="772" totalsRowDxfId="765" dataCellStyle="style1574674161875"/>
    <tableColumn id="4" xr3:uid="{74A28825-E579-4351-A705-FE68D188446B}" name="Post Count" totalsRowFunction="sum" dataDxfId="771" totalsRowDxfId="764" dataCellStyle="style1574674161938"/>
    <tableColumn id="5" xr3:uid="{2571C98B-5B2D-4366-96E1-24F32BDFBFBB}" name="Post Count %" totalsRowFunction="sum" dataDxfId="770" totalsRowDxfId="767" dataCellStyle="style1574674161985" totalsRowCellStyle="style1574674161985"/>
  </tableColumns>
  <tableStyleInfo name="TableStyleMedium25" showFirstColumn="1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E7834A8-A5DA-4677-A782-CD2C640132EA}" name="Table36" displayName="Table36" ref="A274:E280" totalsRowCount="1" headerRowDxfId="755" headerRowBorderDxfId="762" tableBorderDxfId="763" totalsRowBorderDxfId="761" headerRowCellStyle="style1574674158919">
  <autoFilter ref="A274:E279" xr:uid="{AFEF3707-EAA5-49B0-8C2A-1FF5A7816812}"/>
  <tableColumns count="5">
    <tableColumn id="1" xr3:uid="{342071C1-57CA-463F-A14B-2746513A853D}" name="Response" totalsRowLabel="Total" dataDxfId="760" totalsRowDxfId="754" dataCellStyle="style1574674159011" totalsRowCellStyle="style1574674159011"/>
    <tableColumn id="2" xr3:uid="{F01FFAF2-475A-4B5E-A11D-7A6886F49EF5}" name="Pre Count" totalsRowFunction="sum" dataDxfId="759" totalsRowDxfId="752" dataCellStyle="style1574674161814"/>
    <tableColumn id="3" xr3:uid="{577A3401-C1CB-4A47-B7FD-83960CFA72D1}" name="Pre Count %" totalsRowFunction="sum" dataDxfId="758" totalsRowDxfId="751" dataCellStyle="style1574674161875"/>
    <tableColumn id="4" xr3:uid="{56D34B4C-9EFA-45A9-9F6A-D4F8409AC486}" name="Post Count" totalsRowFunction="sum" dataDxfId="757" totalsRowDxfId="750" dataCellStyle="style1574674161938"/>
    <tableColumn id="5" xr3:uid="{3526388A-C164-4AB1-9F1F-11E2397BD8C9}" name="Post Count %" totalsRowFunction="sum" dataDxfId="756" totalsRowDxfId="753" dataCellStyle="style1574674161985" totalsRowCellStyle="style1574674161985"/>
  </tableColumns>
  <tableStyleInfo name="TableStyleMedium25" showFirstColumn="1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00782BB-DCCF-449B-BCEE-F16518167D8F}" name="Table37" displayName="Table37" ref="A283:E289" totalsRowCount="1" headerRowDxfId="741" headerRowBorderDxfId="748" tableBorderDxfId="749" totalsRowBorderDxfId="747" headerRowCellStyle="style1574674158919">
  <autoFilter ref="A283:E288" xr:uid="{FECFF92B-701E-488C-BB48-F551B03B24A4}"/>
  <tableColumns count="5">
    <tableColumn id="1" xr3:uid="{74467BBA-E437-4337-9BB9-CB2C2A4A362B}" name="Response" totalsRowLabel="Total" dataDxfId="746" totalsRowDxfId="740" dataCellStyle="style1574674159011" totalsRowCellStyle="style1574674159011"/>
    <tableColumn id="2" xr3:uid="{B4B92486-38E0-40FD-844E-92B2B82204E2}" name="Pre Count" totalsRowFunction="sum" dataDxfId="745" totalsRowDxfId="738" dataCellStyle="style1574674161814"/>
    <tableColumn id="3" xr3:uid="{792466F5-9FB4-4042-89F3-9FC4065F563F}" name="Pre Count %" totalsRowFunction="sum" dataDxfId="744" totalsRowDxfId="737" dataCellStyle="style1574674161875"/>
    <tableColumn id="4" xr3:uid="{CBB0C850-2D71-4A72-A434-A36CCC844A48}" name="Post Count" totalsRowFunction="sum" dataDxfId="743" totalsRowDxfId="736" dataCellStyle="style1574674161938"/>
    <tableColumn id="5" xr3:uid="{10983FFD-4074-42FB-873A-685C65289EA3}" name="Post Count %" totalsRowFunction="sum" dataDxfId="742" totalsRowDxfId="739" dataCellStyle="style1574674161985" totalsRowCellStyle="style1574674161985"/>
  </tableColumns>
  <tableStyleInfo name="TableStyleMedium25" showFirstColumn="1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56217C9-38FB-4ED7-A8A0-CDC3657385F6}" name="Table38" displayName="Table38" ref="A292:E298" totalsRowCount="1" headerRowDxfId="727" headerRowBorderDxfId="734" tableBorderDxfId="735" totalsRowBorderDxfId="733" headerRowCellStyle="style1574674158919">
  <autoFilter ref="A292:E297" xr:uid="{EA36BC19-9133-4B4B-A250-6D55C30F1D40}"/>
  <tableColumns count="5">
    <tableColumn id="1" xr3:uid="{05383981-733C-4048-8868-33CA09357D12}" name="Response" totalsRowLabel="Total" dataDxfId="732" totalsRowDxfId="726" dataCellStyle="style1574674159011" totalsRowCellStyle="style1574674159011"/>
    <tableColumn id="2" xr3:uid="{A470DECE-2002-4701-B443-34F405D722C3}" name="Pre Count" totalsRowFunction="sum" dataDxfId="731" totalsRowDxfId="724" dataCellStyle="style1574674161814"/>
    <tableColumn id="3" xr3:uid="{B4A9F8F9-7CBC-4D69-AA88-7E7F5803F7F1}" name="Pre Count %" totalsRowFunction="sum" dataDxfId="730" totalsRowDxfId="723" dataCellStyle="style1574674161875"/>
    <tableColumn id="4" xr3:uid="{7D30D88D-96DE-41E1-B9F3-DEAE1369ECC3}" name="Post Count" totalsRowFunction="sum" dataDxfId="729" totalsRowDxfId="722" dataCellStyle="style1574674161938"/>
    <tableColumn id="5" xr3:uid="{E88FE2D1-3349-422D-A01C-03396E4C3C46}" name="Post Count %" totalsRowFunction="sum" dataDxfId="728" totalsRowDxfId="725" dataCellStyle="style1574674161985" totalsRowCellStyle="style1574674161985"/>
  </tableColumns>
  <tableStyleInfo name="TableStyleMedium25" showFirstColumn="1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8981CD2-FF8C-4583-864E-472675F86E64}" name="Table39" displayName="Table39" ref="A301:E307" totalsRowCount="1" headerRowDxfId="713" headerRowBorderDxfId="720" tableBorderDxfId="721" totalsRowBorderDxfId="719" headerRowCellStyle="style1574674158919">
  <autoFilter ref="A301:E306" xr:uid="{D0AB669D-8D41-4580-8E41-9209CA74CD37}"/>
  <tableColumns count="5">
    <tableColumn id="1" xr3:uid="{8A4E0E1C-2FA0-4C5F-91B7-41CDF39C3822}" name="Response" totalsRowLabel="Total" dataDxfId="718" totalsRowDxfId="712" dataCellStyle="style1574674159011" totalsRowCellStyle="style1574674159011"/>
    <tableColumn id="2" xr3:uid="{EF36051F-55BC-4D2E-B365-F7A674DBFE63}" name="Pre Count" totalsRowFunction="sum" dataDxfId="717" totalsRowDxfId="710" dataCellStyle="style1574674161814"/>
    <tableColumn id="3" xr3:uid="{202C6D86-AAA6-4748-BB90-D3A7A9B0C9B2}" name="Pre Count %" totalsRowFunction="sum" dataDxfId="716" totalsRowDxfId="709" dataCellStyle="style1574674161875"/>
    <tableColumn id="4" xr3:uid="{A4E75772-9C56-4E2A-BC28-37D158711FF4}" name="Post Count" totalsRowFunction="sum" dataDxfId="715" totalsRowDxfId="708" dataCellStyle="style1574674161938"/>
    <tableColumn id="5" xr3:uid="{7AE0666E-8DBC-48AB-879D-F22DFBF1AD47}" name="Post Count %" totalsRowFunction="sum" dataDxfId="714" totalsRowDxfId="711" dataCellStyle="style1574674161985" totalsRowCellStyle="style1574674161985"/>
  </tableColumns>
  <tableStyleInfo name="TableStyleMedium25" showFirstColumn="1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7CA0CB9-A659-4549-B58E-06A160D3BBA6}" name="Table40" displayName="Table40" ref="A310:E316" totalsRowCount="1" headerRowDxfId="699" headerRowBorderDxfId="706" tableBorderDxfId="707" totalsRowBorderDxfId="705" headerRowCellStyle="style1574674158919">
  <autoFilter ref="A310:E315" xr:uid="{BF6975E6-A64E-43B4-A4EF-5751F6A61F44}"/>
  <tableColumns count="5">
    <tableColumn id="1" xr3:uid="{EC6F432C-1BB5-40FF-94A9-D2607AB1DD80}" name="Response" totalsRowLabel="Total" dataDxfId="704" totalsRowDxfId="698" dataCellStyle="style1574674159011" totalsRowCellStyle="style1574674159011"/>
    <tableColumn id="2" xr3:uid="{5A58AAD8-529C-44B6-85DE-36C92C482C85}" name="Pre Count" totalsRowFunction="sum" dataDxfId="703" totalsRowDxfId="696" dataCellStyle="style1574674161814"/>
    <tableColumn id="3" xr3:uid="{2FC0479F-DA55-4AB0-B635-F80C9D745A26}" name="Pre Count %" totalsRowFunction="sum" dataDxfId="702" totalsRowDxfId="695" dataCellStyle="style1574674161875"/>
    <tableColumn id="4" xr3:uid="{1C1C4064-BF7C-4215-A4A4-23AD95CD07D7}" name="Post Count" totalsRowFunction="sum" dataDxfId="701" totalsRowDxfId="694" dataCellStyle="style1574674161938"/>
    <tableColumn id="5" xr3:uid="{2AAEA3C0-E6C8-45AA-99DE-2FB53236A507}" name="Post Count %" totalsRowFunction="sum" dataDxfId="700" totalsRowDxfId="697" dataCellStyle="style1574674161985" totalsRowCellStyle="style1574674161985"/>
  </tableColumns>
  <tableStyleInfo name="TableStyleMedium25" showFirstColumn="1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20718CA-4E1B-4C36-9559-1E22B76EC02A}" name="Table41" displayName="Table41" ref="A319:E325" totalsRowCount="1" headerRowDxfId="685" headerRowBorderDxfId="692" tableBorderDxfId="693" totalsRowBorderDxfId="691" headerRowCellStyle="style1574674158919">
  <autoFilter ref="A319:E324" xr:uid="{AF6017AE-551E-4782-A0E8-5741D642CAB2}"/>
  <tableColumns count="5">
    <tableColumn id="1" xr3:uid="{FCE90B8A-CF58-4CF8-985D-A325234D1761}" name="Response" totalsRowLabel="Total" dataDxfId="690" totalsRowDxfId="684" dataCellStyle="style1574674159011" totalsRowCellStyle="style1574674159011"/>
    <tableColumn id="2" xr3:uid="{253C1A69-4717-424B-A48C-29FD368A4058}" name="Pre Count" totalsRowFunction="sum" dataDxfId="689" totalsRowDxfId="681" dataCellStyle="style1574674161814"/>
    <tableColumn id="3" xr3:uid="{5F3A3716-D326-47C0-8527-00A15EB88C40}" name="Pre Count %" totalsRowFunction="sum" dataDxfId="688" totalsRowDxfId="680" dataCellStyle="style1574674161875"/>
    <tableColumn id="4" xr3:uid="{28BF4B6F-D416-4434-A631-C95785B69118}" name="Post Count" dataDxfId="687" totalsRowDxfId="683" dataCellStyle="style1574674161938" totalsRowCellStyle="style1574674161938"/>
    <tableColumn id="5" xr3:uid="{6ED296C5-AD9B-4A8E-BF9A-CD0C8850C6F5}" name="Post Count %" totalsRowFunction="sum" dataDxfId="686" totalsRowDxfId="682" dataCellStyle="style1574674161985" totalsRowCellStyle="style1574674161985"/>
  </tableColumns>
  <tableStyleInfo name="TableStyleMedium25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C279873-C530-43F8-ADE6-7606E6932800}" name="Table6" displayName="Table6" ref="A23:E27" totalsRowCount="1" headerRowDxfId="1170" headerRowBorderDxfId="1172" tableBorderDxfId="1173" totalsRowBorderDxfId="1171" headerRowCellStyle="style1574674158919">
  <autoFilter ref="A23:E26" xr:uid="{2789B5E0-553D-4CC7-8882-20F76F367D2A}"/>
  <tableColumns count="5">
    <tableColumn id="1" xr3:uid="{E6E37ACB-BF43-43CF-9441-67049CCA055B}" name="Response" totalsRowLabel="Total" dataDxfId="1165" totalsRowDxfId="1164" dataCellStyle="style1574674159011"/>
    <tableColumn id="2" xr3:uid="{A80F853A-3424-418B-AFF2-7EDD6608931F}" name="Pre Count" totalsRowFunction="sum" dataDxfId="1169" totalsRowDxfId="1163" dataCellStyle="style1574674161814"/>
    <tableColumn id="3" xr3:uid="{55AE2842-5EFB-44C8-A766-12A5DF47D5F5}" name="Pre Count %" totalsRowFunction="sum" dataDxfId="1168" totalsRowDxfId="1162" dataCellStyle="style1574674161875"/>
    <tableColumn id="4" xr3:uid="{0726BF23-632F-441C-B561-CA4E440EFB64}" name="Post Count" totalsRowFunction="sum" dataDxfId="1167" totalsRowDxfId="1161" dataCellStyle="style1574674161938"/>
    <tableColumn id="5" xr3:uid="{F9276F1F-F473-49B2-B093-E2DAC0F2A3FE}" name="Post Count %" totalsRowFunction="sum" dataDxfId="1166" totalsRowDxfId="1160" dataCellStyle="style1574674161985"/>
  </tableColumns>
  <tableStyleInfo name="TableStyleMedium25" showFirstColumn="1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DF898C5-1183-406E-8966-B3FDDEBC66CE}" name="Table42" displayName="Table42" ref="A328:E334" totalsRowCount="1" headerRowDxfId="671" headerRowBorderDxfId="678" tableBorderDxfId="679" totalsRowBorderDxfId="677" headerRowCellStyle="style1574674158919">
  <autoFilter ref="A328:E333" xr:uid="{55444007-5E87-426F-BC2A-CB4438B55A14}"/>
  <tableColumns count="5">
    <tableColumn id="1" xr3:uid="{BBF49A03-DA35-45B1-891D-9AE0949276FC}" name="Response" totalsRowLabel="Total" dataDxfId="676" totalsRowDxfId="670" dataCellStyle="style1574674159011" totalsRowCellStyle="style1574674159011"/>
    <tableColumn id="2" xr3:uid="{F0D76CBE-EF5B-49B1-9D77-5FC5D033EA74}" name="Pre Count" totalsRowFunction="sum" dataDxfId="675" totalsRowDxfId="668" dataCellStyle="style1574674161814"/>
    <tableColumn id="3" xr3:uid="{4838EAD1-5B5B-4193-9766-0C18B6129233}" name="Pre Count %" totalsRowFunction="sum" dataDxfId="674" totalsRowDxfId="667" dataCellStyle="style1574674161875"/>
    <tableColumn id="4" xr3:uid="{E072E3DC-E166-461F-8746-01AF2727DD6F}" name="Post Count" totalsRowFunction="sum" dataDxfId="673" totalsRowDxfId="666" dataCellStyle="style1574674161938"/>
    <tableColumn id="5" xr3:uid="{D2B3AAC9-2548-4D08-8154-297DE3BCF9F4}" name="Post Count %" totalsRowFunction="sum" dataDxfId="672" totalsRowDxfId="669" dataCellStyle="style1574674161985" totalsRowCellStyle="style1574674161985"/>
  </tableColumns>
  <tableStyleInfo name="TableStyleMedium25" showFirstColumn="1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9F7097C-0235-483C-86E2-818BAEF81B2E}" name="Table43" displayName="Table43" ref="A337:E343" totalsRowCount="1" headerRowDxfId="657" headerRowBorderDxfId="664" tableBorderDxfId="665" totalsRowBorderDxfId="663" headerRowCellStyle="style1574674158919">
  <autoFilter ref="A337:E342" xr:uid="{ECACA413-B8AE-445D-8463-65B2541D3408}"/>
  <tableColumns count="5">
    <tableColumn id="1" xr3:uid="{C4C31663-3843-4D3F-9268-E307F6B438AF}" name="Response" totalsRowLabel="Total" dataDxfId="662" totalsRowDxfId="656" dataCellStyle="style1574674159011" totalsRowCellStyle="style1574674159011"/>
    <tableColumn id="2" xr3:uid="{6EFF9004-2504-4641-B044-CA153126C910}" name="Pre Count" totalsRowFunction="sum" dataDxfId="661" totalsRowDxfId="654" dataCellStyle="style1574674161814"/>
    <tableColumn id="3" xr3:uid="{918C358E-1814-4723-9542-775C083CA904}" name="Pre Count %" totalsRowFunction="sum" dataDxfId="660" totalsRowDxfId="653" dataCellStyle="style1574674161875"/>
    <tableColumn id="4" xr3:uid="{C6FADCE2-F5CA-4D4A-8C89-7959230E0DD6}" name="Post Count" totalsRowFunction="sum" dataDxfId="659" totalsRowDxfId="652" dataCellStyle="style1574674161938"/>
    <tableColumn id="5" xr3:uid="{D8B71E48-FDBE-4147-9128-7E208B0DC455}" name="Post Count %" totalsRowFunction="sum" dataDxfId="658" totalsRowDxfId="655" dataCellStyle="style1574674161985" totalsRowCellStyle="style1574674161985"/>
  </tableColumns>
  <tableStyleInfo name="TableStyleMedium25" showFirstColumn="1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7FEEB0B-A93E-4632-A437-B39A60F1FEDC}" name="Table44" displayName="Table44" ref="A346:E352" totalsRowCount="1" headerRowDxfId="633" headerRowBorderDxfId="640" tableBorderDxfId="641" totalsRowBorderDxfId="639" headerRowCellStyle="style1574674158919">
  <autoFilter ref="A346:E351" xr:uid="{E563638A-6D63-4284-8543-A75A85722370}"/>
  <tableColumns count="5">
    <tableColumn id="1" xr3:uid="{A9BDB86C-F816-4AD5-BCC9-5B978A4C4CA7}" name="Response" totalsRowLabel="Total" dataDxfId="638" totalsRowDxfId="632" dataCellStyle="style1574674159011" totalsRowCellStyle="style1574674159011"/>
    <tableColumn id="2" xr3:uid="{AC7523D8-87C4-4E4E-B1D6-D073E414AAC1}" name="Pre Count" totalsRowFunction="sum" dataDxfId="637" totalsRowDxfId="630" dataCellStyle="style1574674161814"/>
    <tableColumn id="3" xr3:uid="{BB878C9B-9C3D-4C20-8679-5AFB14BAC8FC}" name="Pre Count %" totalsRowFunction="sum" dataDxfId="636" totalsRowDxfId="629" dataCellStyle="style1574674161875"/>
    <tableColumn id="4" xr3:uid="{1DC59006-63D7-4834-9FC5-6A6280A8E4A9}" name="Post Count" totalsRowFunction="sum" dataDxfId="635" totalsRowDxfId="628" dataCellStyle="style1574674161938"/>
    <tableColumn id="5" xr3:uid="{932093E9-6A34-430A-997F-E738B4923E13}" name="Post Count %" totalsRowFunction="sum" dataDxfId="634" totalsRowDxfId="631" dataCellStyle="style1574674161985" totalsRowCellStyle="style1574674161985"/>
  </tableColumns>
  <tableStyleInfo name="TableStyleMedium25" showFirstColumn="1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ED960AA3-EB6A-4694-A190-DDAFA5F73FCD}" name="Table45" displayName="Table45" ref="A355:E361" totalsRowCount="1" headerRowDxfId="619" headerRowBorderDxfId="626" tableBorderDxfId="627" totalsRowBorderDxfId="625" headerRowCellStyle="style1574674158919">
  <autoFilter ref="A355:E360" xr:uid="{FB883031-2A34-41CD-9D51-6558B742B1F6}"/>
  <tableColumns count="5">
    <tableColumn id="1" xr3:uid="{D7821FEA-B279-4C0A-A9D3-6A57F151BA98}" name="Response" totalsRowLabel="Total" dataDxfId="624" totalsRowDxfId="618" dataCellStyle="style1574674159011" totalsRowCellStyle="style1574674159011"/>
    <tableColumn id="2" xr3:uid="{812B5552-CCB0-4430-A389-8AE6177CBC21}" name="Pre Count" totalsRowFunction="sum" dataDxfId="623" totalsRowDxfId="616" dataCellStyle="style1574674161814"/>
    <tableColumn id="3" xr3:uid="{7080CAAD-FB60-4006-A5A3-5FAA6F670DED}" name="Pre Count %" totalsRowFunction="sum" dataDxfId="622" totalsRowDxfId="615" dataCellStyle="style1574674161875"/>
    <tableColumn id="4" xr3:uid="{0C480051-500B-4E7B-8678-881CFB3C02E8}" name="Post Count" totalsRowFunction="sum" dataDxfId="621" totalsRowDxfId="614" dataCellStyle="style1574674161938"/>
    <tableColumn id="5" xr3:uid="{103A3677-0B06-49A3-8B5F-2D8FB1580408}" name="Post Count %" totalsRowFunction="sum" dataDxfId="620" totalsRowDxfId="617" dataCellStyle="style1574674161985" totalsRowCellStyle="style1574674161985"/>
  </tableColumns>
  <tableStyleInfo name="TableStyleMedium25" showFirstColumn="1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C0964D0B-CB7D-4CF9-B1B2-EC29A5359AD7}" name="Table46" displayName="Table46" ref="A364:E370" totalsRowCount="1" headerRowDxfId="605" headerRowBorderDxfId="612" tableBorderDxfId="613" totalsRowBorderDxfId="611" headerRowCellStyle="style1574674158919">
  <autoFilter ref="A364:E369" xr:uid="{E8DF7A02-3734-44B4-8C3B-2FB179A98AC5}"/>
  <tableColumns count="5">
    <tableColumn id="1" xr3:uid="{76390662-B901-437D-B714-21A0C3C1AA6A}" name="Response" totalsRowLabel="Total" dataDxfId="610" totalsRowDxfId="604" dataCellStyle="style1574674159011" totalsRowCellStyle="style1574674159011"/>
    <tableColumn id="2" xr3:uid="{280ACFA3-EA8B-4728-8503-949FB86BF6B7}" name="Pre Count" totalsRowFunction="sum" dataDxfId="609" totalsRowDxfId="602" dataCellStyle="style1574674161814"/>
    <tableColumn id="3" xr3:uid="{8B774022-C70F-46C7-A847-0598085CC26A}" name="Pre Count %" totalsRowFunction="sum" dataDxfId="608" totalsRowDxfId="601" dataCellStyle="style1574674161875"/>
    <tableColumn id="4" xr3:uid="{1243DE56-A074-46F5-9B05-0874EFAB0E7F}" name="Post Count" totalsRowFunction="sum" dataDxfId="607" totalsRowDxfId="600" dataCellStyle="style1574674161938"/>
    <tableColumn id="5" xr3:uid="{619C781F-6D8C-454C-A527-39B33B1D552C}" name="Post Count %" totalsRowFunction="sum" dataDxfId="606" totalsRowDxfId="603" dataCellStyle="style1574674161985" totalsRowCellStyle="style1574674161985"/>
  </tableColumns>
  <tableStyleInfo name="TableStyleMedium25" showFirstColumn="1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9721A8DE-BA2F-472E-9E6E-FE7FC3A7DBD9}" name="Table47" displayName="Table47" ref="A373:E379" totalsRowCount="1" headerRowDxfId="591" headerRowBorderDxfId="598" tableBorderDxfId="599" totalsRowBorderDxfId="597" headerRowCellStyle="style1574674158919">
  <autoFilter ref="A373:E378" xr:uid="{70B42945-537E-44DB-9E1C-DAC5E76312B5}"/>
  <tableColumns count="5">
    <tableColumn id="1" xr3:uid="{BBE90ACD-762C-485A-84F1-22806179A218}" name="Response" totalsRowLabel="Total" dataDxfId="596" totalsRowDxfId="590" dataCellStyle="style1574674159011" totalsRowCellStyle="style1574674159011"/>
    <tableColumn id="2" xr3:uid="{87782574-431F-488C-AA1E-C506A0772A9D}" name="Pre Count" totalsRowFunction="sum" dataDxfId="595" totalsRowDxfId="588" dataCellStyle="style1574674161814"/>
    <tableColumn id="3" xr3:uid="{073543ED-D953-4F0B-BA5B-3FB4B1CFE138}" name="Pre Count %" totalsRowFunction="sum" dataDxfId="594" totalsRowDxfId="587" dataCellStyle="style1574674161875"/>
    <tableColumn id="4" xr3:uid="{7235B5D4-C243-42DD-A06C-4534DEA38FB1}" name="Post Count" totalsRowFunction="sum" dataDxfId="593" totalsRowDxfId="586" dataCellStyle="style1574674161938"/>
    <tableColumn id="5" xr3:uid="{469D5B37-CEE4-46D3-A0F5-8D4A44A867D3}" name="Post Count %" totalsRowFunction="sum" dataDxfId="592" totalsRowDxfId="589" dataCellStyle="style1574674161985" totalsRowCellStyle="style1574674161985"/>
  </tableColumns>
  <tableStyleInfo name="TableStyleMedium25" showFirstColumn="1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8DA1BE24-7AA2-4F37-A6FE-BF43EC556A35}" name="Table48" displayName="Table48" ref="A383:E389" totalsRowCount="1" headerRowBorderDxfId="584" tableBorderDxfId="585" totalsRowBorderDxfId="583">
  <autoFilter ref="A383:E388" xr:uid="{48FCE1CC-3376-4A42-8CAF-B095BEFE8807}"/>
  <tableColumns count="5">
    <tableColumn id="1" xr3:uid="{C99A69A9-6348-43C8-85CE-288B8BFE24A2}" name="Column1" totalsRowLabel="Total" dataDxfId="582" totalsRowDxfId="577" dataCellStyle="style1574674159011" totalsRowCellStyle="style1574674159011"/>
    <tableColumn id="2" xr3:uid="{BB07359F-01B0-4558-A47C-E54487FD2518}" name="Column2" totalsRowFunction="sum" dataDxfId="581" totalsRowDxfId="575" dataCellStyle="style1574674161814"/>
    <tableColumn id="3" xr3:uid="{6619CF06-71BD-4209-88FC-A325C69C61C1}" name="Column3" totalsRowFunction="sum" dataDxfId="580" totalsRowDxfId="574" dataCellStyle="style1574674161875"/>
    <tableColumn id="4" xr3:uid="{5AC1D21A-C964-4802-9011-370B33013403}" name="Column4" totalsRowFunction="sum" dataDxfId="579" totalsRowDxfId="573" dataCellStyle="style1574674161938"/>
    <tableColumn id="5" xr3:uid="{884D031F-CAE5-4CC0-904C-71D6F063B023}" name="Column5" totalsRowFunction="sum" dataDxfId="578" totalsRowDxfId="576" dataCellStyle="style1574674161985" totalsRowCellStyle="style1574674161985"/>
  </tableColumns>
  <tableStyleInfo name="TableStyleMedium25" showFirstColumn="1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A8DB6AC-5527-421C-9970-33CC989E4BFF}" name="Table49" displayName="Table49" ref="A392:E398" totalsRowCount="1" headerRowDxfId="564" headerRowBorderDxfId="571" tableBorderDxfId="572" totalsRowBorderDxfId="570" headerRowCellStyle="style1574674158919">
  <autoFilter ref="A392:E397" xr:uid="{0D965AA9-CA40-4498-932C-AC204B756607}"/>
  <tableColumns count="5">
    <tableColumn id="1" xr3:uid="{4FF66C28-4CB8-4EEE-8A1B-272933E2C540}" name="Response" totalsRowLabel="Total" dataDxfId="569" totalsRowDxfId="563" dataCellStyle="style1574674159011" totalsRowCellStyle="style1574674159011"/>
    <tableColumn id="2" xr3:uid="{6F071D93-73AB-43DD-A6A2-A543D980153A}" name="Pre Count" totalsRowFunction="sum" dataDxfId="568" totalsRowDxfId="561" dataCellStyle="style1574674161814"/>
    <tableColumn id="3" xr3:uid="{193EF23E-3E0D-4501-8C78-35F3E6C9DDB0}" name="Pre Count %" totalsRowFunction="sum" dataDxfId="567" totalsRowDxfId="560" dataCellStyle="style1574674161875"/>
    <tableColumn id="4" xr3:uid="{FC42209D-1D30-4C1C-9899-D66BF14FF26F}" name="Post Count" totalsRowFunction="sum" dataDxfId="566" totalsRowDxfId="559" dataCellStyle="style1574674161938"/>
    <tableColumn id="5" xr3:uid="{B8429A38-FEE3-40B7-8192-8170FE452F16}" name="Post Count %" totalsRowFunction="sum" dataDxfId="565" totalsRowDxfId="562" dataCellStyle="style1574674161985" totalsRowCellStyle="style1574674161985"/>
  </tableColumns>
  <tableStyleInfo name="TableStyleMedium25" showFirstColumn="1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B4AADA0B-C6B2-4354-8FD1-803562B71C72}" name="Table50" displayName="Table50" ref="A401:E407" totalsRowCount="1" headerRowDxfId="550" headerRowBorderDxfId="557" tableBorderDxfId="558" totalsRowBorderDxfId="556" headerRowCellStyle="style1574674158919">
  <autoFilter ref="A401:E406" xr:uid="{5C4302FB-9160-419A-94B0-FEEC69A47C85}"/>
  <tableColumns count="5">
    <tableColumn id="1" xr3:uid="{20E7C12D-100F-4907-8543-7AD3AB1330E2}" name="Response" totalsRowLabel="Total" dataDxfId="555" totalsRowDxfId="549" dataCellStyle="style1574674159011" totalsRowCellStyle="style1574674159011"/>
    <tableColumn id="2" xr3:uid="{48429E0C-DFE0-43B7-971C-0933A094B134}" name="Pre Count" totalsRowFunction="sum" dataDxfId="554" totalsRowDxfId="547" dataCellStyle="style1574674161814"/>
    <tableColumn id="3" xr3:uid="{1EBA82D6-4EAC-4635-A7BF-FB35A0D28FDB}" name="Pre Count %" totalsRowFunction="sum" dataDxfId="553" totalsRowDxfId="546" dataCellStyle="style1574674161875"/>
    <tableColumn id="4" xr3:uid="{30C7E740-73C0-4674-B47F-67ED06F18CD2}" name="Post Count" totalsRowFunction="sum" dataDxfId="552" totalsRowDxfId="545" dataCellStyle="style1574674161938"/>
    <tableColumn id="5" xr3:uid="{8B904BC1-C0F6-4659-BDF2-DB558534315D}" name="Post Count %" totalsRowFunction="sum" dataDxfId="551" totalsRowDxfId="548" dataCellStyle="style1574674161985" totalsRowCellStyle="style1574674161985"/>
  </tableColumns>
  <tableStyleInfo name="TableStyleDark10" showFirstColumn="1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BD09B2C-4DCB-49D0-AD6E-68CA93691114}" name="Table51" displayName="Table51" ref="A410:E416" totalsRowCount="1" headerRowDxfId="536" headerRowBorderDxfId="543" tableBorderDxfId="544" totalsRowBorderDxfId="542" headerRowCellStyle="style1574674158919">
  <autoFilter ref="A410:E415" xr:uid="{5F62B451-8742-477B-9D2F-CDBD18597216}"/>
  <tableColumns count="5">
    <tableColumn id="1" xr3:uid="{F9B3D034-FD5B-45F4-A506-234EB2CFB2F3}" name="Response" totalsRowLabel="Total" dataDxfId="541" totalsRowDxfId="535" dataCellStyle="style1574674159011" totalsRowCellStyle="style1574674159011"/>
    <tableColumn id="2" xr3:uid="{F1CFAAD7-EC99-436D-8111-51FBDDBBD3B4}" name="Pre Count" totalsRowFunction="sum" dataDxfId="540" totalsRowDxfId="533" dataCellStyle="style1574674161814"/>
    <tableColumn id="3" xr3:uid="{35A65D40-2080-4FE7-963A-C8270567B21C}" name="Pre Count %" totalsRowFunction="sum" dataDxfId="539" totalsRowDxfId="532" dataCellStyle="style1574674161875"/>
    <tableColumn id="4" xr3:uid="{ED4C74E8-0635-480E-9087-ED2B877A6E91}" name="Post Count" totalsRowFunction="sum" dataDxfId="538" totalsRowDxfId="531" dataCellStyle="style1574674161938"/>
    <tableColumn id="5" xr3:uid="{23B1795C-5377-45CD-9E0F-E85F907E048D}" name="Post Count %" totalsRowFunction="sum" dataDxfId="537" totalsRowDxfId="534" dataCellStyle="style1574674161985" totalsRowCellStyle="style1574674161985"/>
  </tableColumns>
  <tableStyleInfo name="TableStyleMedium25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8CF0165-6288-434E-9237-99AF2258EECE}" name="Table7" displayName="Table7" ref="A30:E34" totalsRowCount="1" headerRowDxfId="1151" headerRowBorderDxfId="1158" tableBorderDxfId="1159" totalsRowBorderDxfId="1157" headerRowCellStyle="style1574674158919">
  <autoFilter ref="A30:E33" xr:uid="{1241E440-24AE-46FB-93C8-3ADD3FE1F13B}"/>
  <tableColumns count="5">
    <tableColumn id="1" xr3:uid="{4A1B9CE3-DA59-436C-9176-38D0ADD6F95F}" name="Response" totalsRowLabel="Total" dataDxfId="1156" totalsRowDxfId="1150" dataCellStyle="style1574674159011" totalsRowCellStyle="style1574674159011"/>
    <tableColumn id="2" xr3:uid="{B272EFBB-43EE-4584-AC26-A24F0C0678F8}" name="Pre Count" totalsRowFunction="sum" dataDxfId="1155" totalsRowDxfId="1148" dataCellStyle="style1574674161814"/>
    <tableColumn id="3" xr3:uid="{80ED1DF1-EFB2-4E90-9CC6-A2A5627A9902}" name="Pre Count %" totalsRowFunction="sum" dataDxfId="1154" totalsRowDxfId="1147" dataCellStyle="style1574674161875"/>
    <tableColumn id="4" xr3:uid="{7729322A-5C02-4D1B-950B-323F6FC6A37D}" name="Post Count" totalsRowFunction="sum" dataDxfId="1153" totalsRowDxfId="1146" dataCellStyle="style1574674161938"/>
    <tableColumn id="5" xr3:uid="{F721A907-B6DE-4E54-A720-90EB2AC3E30C}" name="Post Count %" totalsRowFunction="sum" dataDxfId="1152" totalsRowDxfId="1149" dataCellStyle="style1574674161985" totalsRowCellStyle="style1574674161985"/>
  </tableColumns>
  <tableStyleInfo name="TableStyleMedium25" showFirstColumn="1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B3F7B708-3DAF-48B2-9E53-BFBAAB00A869}" name="Table52" displayName="Table52" ref="A419:E425" totalsRowCount="1" headerRowDxfId="522" headerRowBorderDxfId="529" tableBorderDxfId="530" totalsRowBorderDxfId="528" headerRowCellStyle="style1574674158919">
  <autoFilter ref="A419:E424" xr:uid="{E6CF87F2-961E-4212-9165-230630E879A7}"/>
  <tableColumns count="5">
    <tableColumn id="1" xr3:uid="{933FDD42-79A6-45A7-82DB-4EBAB8270498}" name="Response" totalsRowLabel="Total" dataDxfId="527" totalsRowDxfId="521" dataCellStyle="style1574674159011" totalsRowCellStyle="style1574674159011"/>
    <tableColumn id="2" xr3:uid="{9876A91E-F8A4-4D27-9248-700EC2535497}" name="Pre Count" totalsRowFunction="sum" dataDxfId="526" totalsRowDxfId="519" dataCellStyle="style1574674161814"/>
    <tableColumn id="3" xr3:uid="{F617811F-0928-40EC-84DA-BD49A6A44469}" name="Pre Count %" totalsRowFunction="sum" dataDxfId="525" totalsRowDxfId="518" dataCellStyle="style1574674161875"/>
    <tableColumn id="4" xr3:uid="{359670FD-0C13-45B1-96FC-A5709AF7138B}" name="Post Count" totalsRowFunction="sum" dataDxfId="524" totalsRowDxfId="517" dataCellStyle="style1574674161938"/>
    <tableColumn id="5" xr3:uid="{33C3F5A2-7DD2-4876-9845-4210A2A7D121}" name="Post Count %" totalsRowFunction="sum" dataDxfId="523" totalsRowDxfId="520" dataCellStyle="style1574674161985" totalsRowCellStyle="style1574674161985"/>
  </tableColumns>
  <tableStyleInfo name="TableStyleMedium25" showFirstColumn="1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34C8026-8D3E-4DDA-8B71-9062BF65611A}" name="Table53" displayName="Table53" ref="A428:E434" totalsRowCount="1" headerRowDxfId="508" headerRowBorderDxfId="515" tableBorderDxfId="516" totalsRowBorderDxfId="514" headerRowCellStyle="style1574674158919">
  <autoFilter ref="A428:E433" xr:uid="{A0BF258A-5569-433A-B2F3-CC9DD9D43A36}"/>
  <tableColumns count="5">
    <tableColumn id="1" xr3:uid="{D0B2E667-03E0-4A05-9A75-D91AB0071CCB}" name="Response" totalsRowLabel="Total" dataDxfId="513" totalsRowDxfId="507" dataCellStyle="style1574674159011" totalsRowCellStyle="style1574674159011"/>
    <tableColumn id="2" xr3:uid="{A03A5662-1B76-4E74-A460-A9C9BDC66031}" name="Pre Count" totalsRowFunction="sum" dataDxfId="512" totalsRowDxfId="505" dataCellStyle="style1574674161814"/>
    <tableColumn id="3" xr3:uid="{C3D9CFA8-043E-4DB4-8EB8-8200787B8099}" name="Pre Count %" totalsRowFunction="sum" dataDxfId="511" totalsRowDxfId="504" dataCellStyle="style1574674161875"/>
    <tableColumn id="4" xr3:uid="{C6A2B535-5324-4858-BD8D-BFEDE581F726}" name="Post Count" totalsRowFunction="sum" dataDxfId="510" totalsRowDxfId="503" dataCellStyle="style1574674161938"/>
    <tableColumn id="5" xr3:uid="{721667ED-2C0B-4C6A-9DCB-2AC8F50D2EC1}" name="Post Count %" totalsRowFunction="sum" dataDxfId="509" totalsRowDxfId="506" dataCellStyle="style1574674161985" totalsRowCellStyle="style1574674161985"/>
  </tableColumns>
  <tableStyleInfo name="TableStyleMedium25" showFirstColumn="1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CF0A60B-9CD8-498F-8DCC-15F1EABAB7F5}" name="Table54" displayName="Table54" ref="A437:E443" totalsRowCount="1" headerRowDxfId="494" headerRowBorderDxfId="501" tableBorderDxfId="502" totalsRowBorderDxfId="500" headerRowCellStyle="style1574674158919">
  <autoFilter ref="A437:E442" xr:uid="{1394F45A-5F4D-4A10-B186-A86A3B10FD00}"/>
  <tableColumns count="5">
    <tableColumn id="1" xr3:uid="{B21E8A3D-D0EB-4A0B-8890-DE1D750667E8}" name="Response" totalsRowLabel="Total" dataDxfId="499" totalsRowDxfId="493" dataCellStyle="style1574674159011" totalsRowCellStyle="style1574674159011"/>
    <tableColumn id="2" xr3:uid="{718D6042-0D32-44EF-8E38-0026AC8AF4AE}" name="Pre Count" totalsRowFunction="sum" dataDxfId="498" totalsRowDxfId="491" dataCellStyle="style1574674161814"/>
    <tableColumn id="3" xr3:uid="{DAC38B46-298E-48C6-B186-11CD67DDD852}" name="Pre Count %" totalsRowFunction="sum" dataDxfId="497" totalsRowDxfId="490" dataCellStyle="style1574674161875"/>
    <tableColumn id="4" xr3:uid="{D69A0B82-7F55-42EB-A0ED-3871CFF12AD4}" name="Post Count" totalsRowFunction="sum" dataDxfId="496" totalsRowDxfId="489" dataCellStyle="style1574674161938"/>
    <tableColumn id="5" xr3:uid="{D125A3F3-479E-4486-A1FD-C0237D39A56A}" name="Post Count %" totalsRowFunction="sum" dataDxfId="495" totalsRowDxfId="492" dataCellStyle="style1574674161985" totalsRowCellStyle="style1574674161985"/>
  </tableColumns>
  <tableStyleInfo name="TableStyleMedium25" showFirstColumn="1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66ADFE69-DC36-4D44-8540-ADF518E99A43}" name="Table55" displayName="Table55" ref="A446:E451" totalsRowCount="1" headerRowDxfId="480" headerRowBorderDxfId="487" tableBorderDxfId="488" totalsRowBorderDxfId="486" headerRowCellStyle="style1574674158919">
  <autoFilter ref="A446:E450" xr:uid="{548E41B9-1696-4A6F-BE24-A55BBCE0B5A0}"/>
  <tableColumns count="5">
    <tableColumn id="1" xr3:uid="{5965062D-B31D-4C9E-A8A4-475FE113E58F}" name="Response" totalsRowLabel="Total" dataDxfId="485" totalsRowDxfId="479" dataCellStyle="style1574674159011" totalsRowCellStyle="style1574674159011"/>
    <tableColumn id="2" xr3:uid="{046732C7-6B77-47A0-8CDC-6C7DF70F30C4}" name="Pre Count" totalsRowFunction="sum" dataDxfId="484" totalsRowDxfId="477" dataCellStyle="style1574674161814"/>
    <tableColumn id="3" xr3:uid="{A4091B77-B971-47FB-B86B-BAF96768E02A}" name="Pre Count %" totalsRowFunction="sum" dataDxfId="483" totalsRowDxfId="476" dataCellStyle="style1574674161875"/>
    <tableColumn id="4" xr3:uid="{0F537240-0468-4FE5-B2AB-01B5ADDED1F1}" name="Post Count" totalsRowFunction="sum" dataDxfId="482" totalsRowDxfId="475" dataCellStyle="style1574674161938"/>
    <tableColumn id="5" xr3:uid="{BE1AA6BC-EBC5-4D85-9EB6-AB9811F664D0}" name="Post Count %" totalsRowFunction="sum" dataDxfId="481" totalsRowDxfId="478" dataCellStyle="style1574674161985" totalsRowCellStyle="style1574674161985"/>
  </tableColumns>
  <tableStyleInfo name="TableStyleMedium25" showFirstColumn="1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E45EFBD-A466-40DC-87EA-852A05C8B641}" name="Table56" displayName="Table56" ref="A454:E460" totalsRowCount="1" headerRowDxfId="466" headerRowBorderDxfId="473" tableBorderDxfId="474" totalsRowBorderDxfId="472" headerRowCellStyle="style1574674158919">
  <autoFilter ref="A454:E459" xr:uid="{39CEB360-472C-4B4E-A2B1-0134DCE63C35}"/>
  <tableColumns count="5">
    <tableColumn id="1" xr3:uid="{C301718B-2C84-411F-8584-F2CC5BC686C3}" name="Response" totalsRowLabel="Total" dataDxfId="471" totalsRowDxfId="465" dataCellStyle="style1574674159011" totalsRowCellStyle="style1574674159011"/>
    <tableColumn id="2" xr3:uid="{536E9920-7FDE-4406-AD8C-D2FE81B4C435}" name="Pre Count" totalsRowFunction="sum" dataDxfId="470" totalsRowDxfId="463" dataCellStyle="style1574674161814"/>
    <tableColumn id="3" xr3:uid="{B2CD7D4D-9313-4F23-A590-7AA7D912B923}" name="Pre Count %" totalsRowFunction="sum" dataDxfId="469" totalsRowDxfId="462" dataCellStyle="style1574674161875"/>
    <tableColumn id="4" xr3:uid="{DF7C7BE6-5519-401A-AA14-9F0188F87BFD}" name="Post Count" totalsRowFunction="sum" dataDxfId="468" totalsRowDxfId="461" dataCellStyle="style1574674161938"/>
    <tableColumn id="5" xr3:uid="{E5E05160-B8BA-4B9D-A309-0FF78F266711}" name="Post Count %" totalsRowFunction="sum" dataDxfId="467" totalsRowDxfId="464" dataCellStyle="style1574674161985" totalsRowCellStyle="style1574674161985"/>
  </tableColumns>
  <tableStyleInfo name="TableStyleMedium25" showFirstColumn="1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CB7BAE1-6C7E-4693-AEBF-E821EC287D4C}" name="Table57" displayName="Table57" ref="A463:E469" totalsRowCount="1" headerRowDxfId="452" headerRowBorderDxfId="459" tableBorderDxfId="460" totalsRowBorderDxfId="458" headerRowCellStyle="style1574674158919">
  <autoFilter ref="A463:E468" xr:uid="{51003AD9-D15D-4D12-889C-A846ECB7A851}"/>
  <tableColumns count="5">
    <tableColumn id="1" xr3:uid="{90654407-A586-482A-BD2A-E13E572611C9}" name="Response" totalsRowLabel="Total" dataDxfId="457" totalsRowDxfId="451" dataCellStyle="style1574674159011" totalsRowCellStyle="style1574674159011"/>
    <tableColumn id="2" xr3:uid="{3A22C98F-662A-4242-B258-051218AF7131}" name="Pre Count" totalsRowFunction="sum" dataDxfId="456" totalsRowDxfId="449" dataCellStyle="style1574674161814"/>
    <tableColumn id="3" xr3:uid="{1DD4CDF1-32AC-4BDF-A170-647A5D461DBA}" name="Pre Count %" totalsRowFunction="sum" dataDxfId="455" totalsRowDxfId="448" dataCellStyle="style1574674161875"/>
    <tableColumn id="4" xr3:uid="{FF29D67E-0DF3-4F68-B621-CE71D7C6611D}" name="Post Count" totalsRowFunction="sum" dataDxfId="454" totalsRowDxfId="447" dataCellStyle="style1574674161938"/>
    <tableColumn id="5" xr3:uid="{267CC9E6-552B-475F-B63D-2EFBBF2299CD}" name="Post Count %" totalsRowFunction="sum" dataDxfId="453" totalsRowDxfId="450" dataCellStyle="style1574674161985" totalsRowCellStyle="style1574674161985"/>
  </tableColumns>
  <tableStyleInfo name="TableStyleMedium25" showFirstColumn="1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3C2C0C8-78E5-427D-B61F-966ECFA60C7B}" name="Table58" displayName="Table58" ref="A472:E478" totalsRowCount="1" headerRowDxfId="438" headerRowBorderDxfId="445" tableBorderDxfId="446" totalsRowBorderDxfId="444" headerRowCellStyle="style1574674158919">
  <autoFilter ref="A472:E477" xr:uid="{61297A81-1B92-4871-A4BC-C2396DB0DE55}"/>
  <tableColumns count="5">
    <tableColumn id="1" xr3:uid="{EBCECA0E-CE13-4A8C-963F-A87FC6C89D3D}" name="Response" totalsRowLabel="Total" dataDxfId="443" totalsRowDxfId="437" dataCellStyle="style1574674159011" totalsRowCellStyle="style1574674159011"/>
    <tableColumn id="2" xr3:uid="{CEB7C3AF-26F3-4678-B4B2-CCB7F2F1DFBF}" name="Pre Count" totalsRowFunction="sum" dataDxfId="442" totalsRowDxfId="435" dataCellStyle="style1574674161814"/>
    <tableColumn id="3" xr3:uid="{FE35FC78-10B8-4D42-A14C-8682C8F0A167}" name="Pre Count %" totalsRowFunction="sum" dataDxfId="441" totalsRowDxfId="434" dataCellStyle="style1574674161875"/>
    <tableColumn id="4" xr3:uid="{E966CB3D-204A-48A8-BC7D-D5EA09CFA8A1}" name="Post Count" totalsRowFunction="sum" dataDxfId="440" totalsRowDxfId="433" dataCellStyle="style1574674161938"/>
    <tableColumn id="5" xr3:uid="{2A269F09-47E0-4181-80FA-3FDA40825B97}" name="Post Count %" totalsRowFunction="sum" dataDxfId="439" totalsRowDxfId="436" dataCellStyle="style1574674161985" totalsRowCellStyle="style1574674161985"/>
  </tableColumns>
  <tableStyleInfo name="TableStyleMedium25" showFirstColumn="1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59F1DC46-3D95-4684-84BD-523296CACB94}" name="Table59" displayName="Table59" ref="A481:E487" totalsRowCount="1" headerRowDxfId="424" headerRowBorderDxfId="431" tableBorderDxfId="432" totalsRowBorderDxfId="430" headerRowCellStyle="style1574674158919">
  <autoFilter ref="A481:E486" xr:uid="{9D048022-718F-4430-9F52-C48357B77DA6}"/>
  <tableColumns count="5">
    <tableColumn id="1" xr3:uid="{C77545D2-2D04-4250-AB59-3DE2696B0E9E}" name="Response" totalsRowLabel="Total" dataDxfId="429" totalsRowDxfId="423" dataCellStyle="style1574674159011" totalsRowCellStyle="style1574674159011"/>
    <tableColumn id="2" xr3:uid="{02582988-D4DB-4096-B1DE-1AC751EE054B}" name="Pre Count" totalsRowFunction="sum" dataDxfId="428" totalsRowDxfId="421" dataCellStyle="style1574674161814"/>
    <tableColumn id="3" xr3:uid="{4B51F4D4-6F6A-461A-93C0-CE4D8CC62EE4}" name="Pre Count %" totalsRowFunction="sum" dataDxfId="427" totalsRowDxfId="420" dataCellStyle="style1574674161875"/>
    <tableColumn id="4" xr3:uid="{A7A76584-9C43-4D92-BB00-B65DA8323D33}" name="Post Count" totalsRowFunction="sum" dataDxfId="426" totalsRowDxfId="419" dataCellStyle="style1574674161938"/>
    <tableColumn id="5" xr3:uid="{CCC4E72F-D624-4126-9263-B40C2A316A18}" name="Post Count %" totalsRowFunction="sum" dataDxfId="425" totalsRowDxfId="422" dataCellStyle="style1574674161985" totalsRowCellStyle="style1574674161985"/>
  </tableColumns>
  <tableStyleInfo name="TableStyleMedium25" showFirstColumn="1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C7324DB5-D072-4D0E-8D1A-7D9BE7CA2680}" name="Table61" displayName="Table61" ref="A490:E496" totalsRowCount="1" headerRowDxfId="410" headerRowBorderDxfId="417" tableBorderDxfId="418" totalsRowBorderDxfId="416" headerRowCellStyle="style1574674158919">
  <autoFilter ref="A490:E495" xr:uid="{05E6206D-E053-4B23-897A-A454DA7DAFE4}"/>
  <tableColumns count="5">
    <tableColumn id="1" xr3:uid="{F1CC0956-9F81-429C-8B28-A9D0E5179845}" name="Response" totalsRowLabel="Total" dataDxfId="415" totalsRowDxfId="409" dataCellStyle="style1574674159011" totalsRowCellStyle="style1574674159011"/>
    <tableColumn id="2" xr3:uid="{85193A09-EC34-4475-A18D-F3F5297B807D}" name="Pre Count" totalsRowFunction="sum" dataDxfId="414" totalsRowDxfId="407" dataCellStyle="style1574674161814"/>
    <tableColumn id="3" xr3:uid="{B713A33C-C3C3-4E2C-8553-1C24B388DC68}" name="Pre Count %" totalsRowFunction="sum" dataDxfId="413" totalsRowDxfId="406" dataCellStyle="style1574674161875"/>
    <tableColumn id="4" xr3:uid="{F0439460-E765-4A66-B15D-55BC84B44D03}" name="Post Count" totalsRowFunction="sum" dataDxfId="412" totalsRowDxfId="405" dataCellStyle="style1574674161938"/>
    <tableColumn id="5" xr3:uid="{8A115561-8D21-4465-95A7-13F36AED5128}" name="Post Count %" totalsRowFunction="sum" dataDxfId="411" totalsRowDxfId="408" dataCellStyle="style1574674161985" totalsRowCellStyle="style1574674161985"/>
  </tableColumns>
  <tableStyleInfo name="TableStyleMedium25" showFirstColumn="1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37CEBDB-D4DB-45DC-91CE-461BFCEA5178}" name="Table62" displayName="Table62" ref="A499:E505" totalsRowCount="1" headerRowDxfId="396" headerRowBorderDxfId="403" tableBorderDxfId="404" totalsRowBorderDxfId="402" headerRowCellStyle="style1574674158919">
  <autoFilter ref="A499:E504" xr:uid="{12DB3EFA-A533-49D5-8675-F9B09AA9DA97}"/>
  <tableColumns count="5">
    <tableColumn id="1" xr3:uid="{8FECC1B3-61B0-4EE4-9460-44F8FE592A8F}" name="Response" totalsRowLabel="Total" dataDxfId="401" totalsRowDxfId="395" dataCellStyle="style1574674159011" totalsRowCellStyle="style1574674159011"/>
    <tableColumn id="2" xr3:uid="{E6BD0CB9-E98D-4FB2-B075-0DACA773009D}" name="Pre Count" totalsRowFunction="sum" dataDxfId="400" totalsRowDxfId="393" dataCellStyle="style1574674161814"/>
    <tableColumn id="3" xr3:uid="{9FA5A204-2C8A-4C19-AAAD-EF9173EE374A}" name="Pre Count %" totalsRowFunction="sum" dataDxfId="399" totalsRowDxfId="392" dataCellStyle="style1574674161875"/>
    <tableColumn id="4" xr3:uid="{4357890D-61EE-4419-8DF8-F90F5129F3D8}" name="Post Count" totalsRowFunction="sum" dataDxfId="398" totalsRowDxfId="391" dataCellStyle="style1574674161938"/>
    <tableColumn id="5" xr3:uid="{92535E1A-1933-4509-B2F7-22AEC0D4BE85}" name="Post Count %" totalsRowFunction="sum" dataDxfId="397" totalsRowDxfId="394" dataCellStyle="style1574674161985" totalsRowCellStyle="style1574674161985"/>
  </tableColumns>
  <tableStyleInfo name="TableStyleMedium25" showFirstColumn="1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81C9468-4ACC-4B9C-89EE-DDA96DEE4A59}" name="Table8" displayName="Table8" ref="A37:E41" totalsRowCount="1" headerRowDxfId="1137" headerRowBorderDxfId="1144" tableBorderDxfId="1145" totalsRowBorderDxfId="1143" headerRowCellStyle="style1574674158919">
  <autoFilter ref="A37:E40" xr:uid="{D309DF40-E337-46D5-AE64-B6F0FC9BC232}"/>
  <tableColumns count="5">
    <tableColumn id="1" xr3:uid="{D990790B-638A-41DD-9588-FA003D744210}" name="Response" totalsRowLabel="Total" dataDxfId="1142" totalsRowDxfId="1136" dataCellStyle="style1574674159011" totalsRowCellStyle="style1574674159011"/>
    <tableColumn id="2" xr3:uid="{F688ED18-7DBB-48F2-AFFB-FA75635AE457}" name="Pre Count" totalsRowFunction="sum" dataDxfId="1141" totalsRowDxfId="1134" dataCellStyle="style1574674161814"/>
    <tableColumn id="3" xr3:uid="{2488E4ED-DB68-4357-87DD-3B124921AFEA}" name="Pre Count %" totalsRowFunction="sum" dataDxfId="1140" totalsRowDxfId="1133" dataCellStyle="style1574674161875"/>
    <tableColumn id="4" xr3:uid="{CF57CECD-D0D7-4282-87EA-14D9206B39C7}" name="Post Count" totalsRowFunction="sum" dataDxfId="1139" totalsRowDxfId="1132" dataCellStyle="style1574674161938"/>
    <tableColumn id="5" xr3:uid="{AA7BD47A-3D3D-4126-9772-8DB94EF5D602}" name="Post Count %" totalsRowFunction="sum" dataDxfId="1138" totalsRowDxfId="1135" dataCellStyle="style1574674161985" totalsRowCellStyle="style1574674161985"/>
  </tableColumns>
  <tableStyleInfo name="TableStyleMedium25" showFirstColumn="1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5D2848F-4114-4313-8FFD-3E2033E64F71}" name="Table63" displayName="Table63" ref="A508:E514" totalsRowCount="1" headerRowDxfId="382" headerRowBorderDxfId="389" tableBorderDxfId="390" totalsRowBorderDxfId="388" headerRowCellStyle="style1574674158919">
  <autoFilter ref="A508:E513" xr:uid="{A7494A37-BD4C-4F8A-9C02-BD2F37240BAA}"/>
  <tableColumns count="5">
    <tableColumn id="1" xr3:uid="{CACAF61E-6FC6-46A6-BEE8-A9D64E921B4A}" name="Response" totalsRowLabel="Total" dataDxfId="387" totalsRowDxfId="381" dataCellStyle="style1574674159011" totalsRowCellStyle="style1574674159011"/>
    <tableColumn id="2" xr3:uid="{FF7EB4B5-CB25-4FDA-8C8C-89AFBAD68BE6}" name="Pre Count" totalsRowFunction="sum" dataDxfId="386" totalsRowDxfId="379" dataCellStyle="style1574674161814"/>
    <tableColumn id="3" xr3:uid="{0046D5B2-9F91-4946-B946-A47F4DA7554B}" name="Pre Count %" totalsRowFunction="sum" dataDxfId="385" totalsRowDxfId="378" dataCellStyle="style1574674161875"/>
    <tableColumn id="4" xr3:uid="{DA8FD0E3-D2D8-4DB8-974D-1B0E494BFC83}" name="Post Count" totalsRowFunction="sum" dataDxfId="384" totalsRowDxfId="377" dataCellStyle="style1574674161938"/>
    <tableColumn id="5" xr3:uid="{F5D8E18F-384D-4C46-A7AC-7270416AB6FC}" name="Post Count %" totalsRowFunction="sum" dataDxfId="383" totalsRowDxfId="380" dataCellStyle="style1574674161985" totalsRowCellStyle="style1574674161985"/>
  </tableColumns>
  <tableStyleInfo name="TableStyleMedium25" showFirstColumn="1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A407460A-AB0D-4A7E-9528-7B353DFB5E0B}" name="Table64" displayName="Table64" ref="A517:E523" totalsRowCount="1" headerRowDxfId="368" headerRowBorderDxfId="375" tableBorderDxfId="376" totalsRowBorderDxfId="374" headerRowCellStyle="style1574674158919">
  <autoFilter ref="A517:E522" xr:uid="{80903900-E510-4D57-A99F-2B4215EE776B}"/>
  <tableColumns count="5">
    <tableColumn id="1" xr3:uid="{DD268CA2-4B6D-4D0D-AEFD-43CD636781C0}" name="Response" totalsRowLabel="Total" dataDxfId="373" totalsRowDxfId="367" dataCellStyle="style1574674159011" totalsRowCellStyle="style1574674159011"/>
    <tableColumn id="2" xr3:uid="{85BEC611-AA8E-4487-919B-E791E9DCDCCD}" name="Pre Count" totalsRowFunction="sum" dataDxfId="372" totalsRowDxfId="365" dataCellStyle="style1574674161814"/>
    <tableColumn id="3" xr3:uid="{38CE280E-00F8-4DEC-A7D2-52B218FC46C8}" name="Pre Count %" totalsRowFunction="sum" dataDxfId="371" totalsRowDxfId="364" dataCellStyle="style1574674161875"/>
    <tableColumn id="4" xr3:uid="{A86CFC80-B4D3-44F3-B40B-0B95073973C1}" name="Post Count" totalsRowFunction="sum" dataDxfId="370" totalsRowDxfId="363" dataCellStyle="style1574674161938"/>
    <tableColumn id="5" xr3:uid="{6A06FDBA-8D32-4153-93AE-9184CCD62A5D}" name="Post Count %" totalsRowFunction="sum" dataDxfId="369" totalsRowDxfId="366" dataCellStyle="style1574674161985" totalsRowCellStyle="style1574674161985"/>
  </tableColumns>
  <tableStyleInfo name="TableStyleMedium25" showFirstColumn="1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4994FE4A-5BA4-45A6-BC11-C27DCE79C65C}" name="Table65" displayName="Table65" ref="A526:E532" totalsRowCount="1" headerRowDxfId="354" headerRowBorderDxfId="361" tableBorderDxfId="362" totalsRowBorderDxfId="360" headerRowCellStyle="style1574674158919">
  <autoFilter ref="A526:E531" xr:uid="{B2F57BEB-1913-4BB5-8A13-4350F5DA3684}"/>
  <tableColumns count="5">
    <tableColumn id="1" xr3:uid="{0477C9C9-9B5C-4BB6-A2E2-3F21F4473979}" name="Response" totalsRowLabel="Total" dataDxfId="359" totalsRowDxfId="353" dataCellStyle="style1574674159011" totalsRowCellStyle="style1574674159011"/>
    <tableColumn id="2" xr3:uid="{EE652CF6-27B0-4D98-A173-E9A612805341}" name="Pre Count" totalsRowFunction="sum" dataDxfId="358" totalsRowDxfId="351" dataCellStyle="style1574674161814"/>
    <tableColumn id="3" xr3:uid="{17E97E82-5AE6-4AAF-9F81-079C460F5EFB}" name="Pre Count %" totalsRowFunction="sum" dataDxfId="357" totalsRowDxfId="350" dataCellStyle="style1574674161875"/>
    <tableColumn id="4" xr3:uid="{CB1D6950-87A8-47FE-82BD-3B4AE6EA728E}" name="Post Count" totalsRowFunction="sum" dataDxfId="356" totalsRowDxfId="349" dataCellStyle="style1574674161938"/>
    <tableColumn id="5" xr3:uid="{96CEEC95-B68C-4FD5-A4DE-99F986BD2EE2}" name="Post Count %" totalsRowFunction="sum" dataDxfId="355" totalsRowDxfId="352" dataCellStyle="style1574674161985" totalsRowCellStyle="style1574674161985"/>
  </tableColumns>
  <tableStyleInfo name="TableStyleMedium25" showFirstColumn="1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99176952-3B07-46A0-9DDA-BFD38C4141D7}" name="Table66" displayName="Table66" ref="A544:E556" totalsRowCount="1" headerRowDxfId="340" headerRowBorderDxfId="347" tableBorderDxfId="348" totalsRowBorderDxfId="346" headerRowCellStyle="style1574674158919">
  <autoFilter ref="A544:E555" xr:uid="{9B1D1E15-A846-4016-A661-F2F095505B88}"/>
  <tableColumns count="5">
    <tableColumn id="1" xr3:uid="{054EA45F-B157-4CB9-9444-85A7E4532DB9}" name="Response" totalsRowLabel="Total" dataDxfId="345" totalsRowDxfId="339" dataCellStyle="style1574674159011" totalsRowCellStyle="style1574674159011"/>
    <tableColumn id="2" xr3:uid="{A4B09A80-7664-427D-8E97-EA432A5041BC}" name="Pre Count" totalsRowFunction="sum" dataDxfId="344" totalsRowDxfId="337" dataCellStyle="style1574674161814"/>
    <tableColumn id="3" xr3:uid="{10FBE76B-38F3-4E6E-BBED-BB59AE1CC696}" name="Pre Count %" totalsRowFunction="sum" dataDxfId="343" totalsRowDxfId="336" dataCellStyle="style1574674161875"/>
    <tableColumn id="4" xr3:uid="{1D77C99F-CB4E-4567-98E9-EDC28A3C2ABB}" name="Post Count" totalsRowFunction="sum" dataDxfId="342" totalsRowDxfId="335" dataCellStyle="style1574674161938"/>
    <tableColumn id="5" xr3:uid="{04EF2BC0-7B15-4070-90C5-FDB73852E8DA}" name="Post Count %" totalsRowFunction="sum" dataDxfId="341" totalsRowDxfId="338" dataCellStyle="style1574674161985" totalsRowCellStyle="style1574674161985"/>
  </tableColumns>
  <tableStyleInfo name="TableStyleMedium25" showFirstColumn="1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97B06539-02E3-4EC6-9E60-953D663548E5}" name="Table67" displayName="Table67" ref="A535:E541" totalsRowCount="1" headerRowDxfId="326" headerRowBorderDxfId="333" tableBorderDxfId="334" totalsRowBorderDxfId="332" headerRowCellStyle="style1574674158919">
  <autoFilter ref="A535:E540" xr:uid="{9643D4B2-C7F2-4076-AED1-5216F8A71412}"/>
  <tableColumns count="5">
    <tableColumn id="1" xr3:uid="{F4784F02-5512-4785-B473-F85E9A724033}" name="Response" totalsRowLabel="Total" dataDxfId="331" totalsRowDxfId="325" dataCellStyle="style1574674159011" totalsRowCellStyle="style1574674159011"/>
    <tableColumn id="2" xr3:uid="{F37C218B-89C8-4691-B3D3-A780A5A8B99F}" name="Pre Count" totalsRowFunction="sum" dataDxfId="330" totalsRowDxfId="323" dataCellStyle="style1574674161814"/>
    <tableColumn id="3" xr3:uid="{9F075191-C805-47B0-8D20-D1D79D8847E6}" name="Pre Count %" totalsRowFunction="sum" dataDxfId="329" totalsRowDxfId="322" dataCellStyle="style1574674161875"/>
    <tableColumn id="4" xr3:uid="{78774829-8671-4A41-8204-99DF0F871AB0}" name="Post Count" totalsRowFunction="sum" dataDxfId="328" totalsRowDxfId="321" dataCellStyle="style1574674161938"/>
    <tableColumn id="5" xr3:uid="{FBF5EDAE-2453-4775-A5DF-F110E23D85D4}" name="Post Count %" totalsRowFunction="sum" dataDxfId="327" totalsRowDxfId="324" dataCellStyle="style1574674161985" totalsRowCellStyle="style1574674161985"/>
  </tableColumns>
  <tableStyleInfo name="TableStyleMedium25" showFirstColumn="1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BB5256A6-9074-4682-9100-000E9E62E910}" name="Table68" displayName="Table68" ref="A559:E565" totalsRowCount="1" headerRowDxfId="312" headerRowBorderDxfId="319" tableBorderDxfId="320" totalsRowBorderDxfId="318" headerRowCellStyle="style1574674158919">
  <autoFilter ref="A559:E564" xr:uid="{B66395E9-F946-435C-A7BF-9EACFE28E052}"/>
  <tableColumns count="5">
    <tableColumn id="1" xr3:uid="{2984CCD9-4173-4407-9878-D45D33002827}" name="Response" totalsRowLabel="Total" dataDxfId="317" totalsRowDxfId="311" dataCellStyle="style1574674159011" totalsRowCellStyle="style1574674159011"/>
    <tableColumn id="2" xr3:uid="{4D9F2861-30F0-4DDA-9D22-E5C8EC3258B6}" name="Pre Count" totalsRowFunction="sum" dataDxfId="316" totalsRowDxfId="309" dataCellStyle="style1574674161814"/>
    <tableColumn id="3" xr3:uid="{D8288CD7-C977-4F4F-87BC-E4038CF5C583}" name="Pre Count %" totalsRowFunction="sum" dataDxfId="315" totalsRowDxfId="308" dataCellStyle="style1574674161875"/>
    <tableColumn id="4" xr3:uid="{1CDD18FE-4E13-47E8-979F-F5D7AA202213}" name="Post Count" totalsRowFunction="sum" dataDxfId="314" totalsRowDxfId="307" dataCellStyle="style1574674161938"/>
    <tableColumn id="5" xr3:uid="{7D2AF255-2C6D-4DCA-AE23-95F6F06BAE8D}" name="Post Count %" totalsRowFunction="sum" dataDxfId="313" totalsRowDxfId="310" dataCellStyle="style1574674161985" totalsRowCellStyle="style1574674161985"/>
  </tableColumns>
  <tableStyleInfo name="TableStyleMedium25" showFirstColumn="1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E5545F94-4578-4595-A0FB-6E8ED7B42B16}" name="Table69" displayName="Table69" ref="A568:E574" totalsRowCount="1" headerRowDxfId="298" headerRowBorderDxfId="305" tableBorderDxfId="306" totalsRowBorderDxfId="304" headerRowCellStyle="style1574674158919">
  <autoFilter ref="A568:E573" xr:uid="{78FBC15B-10AB-443D-9EA6-AFA679A8A010}"/>
  <tableColumns count="5">
    <tableColumn id="1" xr3:uid="{FA017B53-D986-42A8-9D4F-E2798D8A98F6}" name="Response" totalsRowLabel="Total" dataDxfId="303" totalsRowDxfId="297" dataCellStyle="style1574674159011" totalsRowCellStyle="style1574674159011"/>
    <tableColumn id="2" xr3:uid="{0246FEBF-9FCF-4383-8397-7DA2EEE716DC}" name="Pre Count" totalsRowFunction="sum" dataDxfId="302" totalsRowDxfId="295" dataCellStyle="style1574674161814"/>
    <tableColumn id="3" xr3:uid="{657FB4F3-EE4D-4057-960E-3C43D392DE42}" name="Pre Count %" totalsRowFunction="sum" dataDxfId="301" totalsRowDxfId="294" dataCellStyle="style1574674161875"/>
    <tableColumn id="4" xr3:uid="{57B79A80-AE93-489E-9C7B-EFE2893A9763}" name="Post Count" totalsRowFunction="sum" dataDxfId="300" totalsRowDxfId="293" dataCellStyle="style1574674161938"/>
    <tableColumn id="5" xr3:uid="{843F2D4E-F7F9-4DCE-85E3-69186F02DA0E}" name="Post Count %" totalsRowFunction="sum" dataDxfId="299" totalsRowDxfId="296" dataCellStyle="style1574674161985" totalsRowCellStyle="style1574674161985"/>
  </tableColumns>
  <tableStyleInfo name="TableStyleMedium25" showFirstColumn="1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59DBA843-8F03-4A62-B160-C948A5190776}" name="Table70" displayName="Table70" ref="A577:E583" totalsRowCount="1" headerRowDxfId="284" headerRowBorderDxfId="291" tableBorderDxfId="292" totalsRowBorderDxfId="290" headerRowCellStyle="style1574674158919">
  <autoFilter ref="A577:E582" xr:uid="{7CF74159-BDB4-4D4D-A251-680DB59756C4}"/>
  <tableColumns count="5">
    <tableColumn id="1" xr3:uid="{D2373AAE-2CAF-4ACC-8CF1-E0E8DA3F7848}" name="Response" totalsRowLabel="Total" dataDxfId="289" totalsRowDxfId="283" dataCellStyle="style1574674159011" totalsRowCellStyle="style1574674159011"/>
    <tableColumn id="2" xr3:uid="{2FB6EBDF-9844-4AFE-BC27-017B74484CCA}" name="Pre Count" totalsRowFunction="sum" dataDxfId="288" totalsRowDxfId="281" dataCellStyle="style1574674161814"/>
    <tableColumn id="3" xr3:uid="{6B90ADC4-0805-478C-BC6D-5F77A0EDCA40}" name="Pre Count %" totalsRowFunction="sum" dataDxfId="287" totalsRowDxfId="280" dataCellStyle="style1574674161875"/>
    <tableColumn id="4" xr3:uid="{72028EEA-B0EE-457B-9655-3087C12B90D0}" name="Post Count" totalsRowFunction="sum" dataDxfId="286" totalsRowDxfId="279" dataCellStyle="style1574674161938"/>
    <tableColumn id="5" xr3:uid="{FD94C6E7-33EA-4A1B-9673-6ABE795CABC4}" name="Post Count %" totalsRowFunction="sum" dataDxfId="285" totalsRowDxfId="282" dataCellStyle="style1574674161985" totalsRowCellStyle="style1574674161985"/>
  </tableColumns>
  <tableStyleInfo name="TableStyleMedium25" showFirstColumn="1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E3821944-5CA1-46DB-B256-0397DEF9E725}" name="Table71" displayName="Table71" ref="A586:E592" totalsRowCount="1" headerRowDxfId="270" headerRowBorderDxfId="277" tableBorderDxfId="278" totalsRowBorderDxfId="276" headerRowCellStyle="style1574674158919">
  <autoFilter ref="A586:E591" xr:uid="{7B879502-5245-4F71-A640-7550DE6B322A}"/>
  <tableColumns count="5">
    <tableColumn id="1" xr3:uid="{F563D35B-96C2-4E44-B2A6-CA655110AC3F}" name="Response" totalsRowLabel="Total" dataDxfId="275" totalsRowDxfId="269" dataCellStyle="style1574674159011" totalsRowCellStyle="style1574674159011"/>
    <tableColumn id="2" xr3:uid="{CD6F5223-F230-493F-91C1-C7EEAA10EFCC}" name="Pre Count" totalsRowFunction="sum" dataDxfId="274" totalsRowDxfId="267" dataCellStyle="style1574674161814"/>
    <tableColumn id="3" xr3:uid="{0530E515-8A10-484A-A2BB-30C30A2B0184}" name="Pre Count %" totalsRowFunction="sum" dataDxfId="273" totalsRowDxfId="266" dataCellStyle="style1574674161875"/>
    <tableColumn id="4" xr3:uid="{44099E2B-A614-4363-85B4-61EC554CB170}" name="Post Count" totalsRowFunction="sum" dataDxfId="272" totalsRowDxfId="265" dataCellStyle="style1574674161938"/>
    <tableColumn id="5" xr3:uid="{67DB4D18-77DE-457A-9A34-ED201A103A33}" name="Post Count %" totalsRowFunction="sum" dataDxfId="271" totalsRowDxfId="268" dataCellStyle="style1574674161985" totalsRowCellStyle="style1574674161985"/>
  </tableColumns>
  <tableStyleInfo name="TableStyleMedium25" showFirstColumn="1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473096FD-E325-428B-96DD-297C96862FB9}" name="Table72" displayName="Table72" ref="A595:E601" totalsRowCount="1" headerRowDxfId="256" headerRowBorderDxfId="263" tableBorderDxfId="264" totalsRowBorderDxfId="262" headerRowCellStyle="style1574674158919">
  <autoFilter ref="A595:E600" xr:uid="{FD41F905-A8EC-4113-ACB0-5DE900225D90}"/>
  <tableColumns count="5">
    <tableColumn id="1" xr3:uid="{5D81FE82-6411-4B0D-82FC-0BA6EC8B24D2}" name="Response" totalsRowLabel="Total" dataDxfId="261" totalsRowDxfId="255" dataCellStyle="style1574674159011" totalsRowCellStyle="style1574674159011"/>
    <tableColumn id="2" xr3:uid="{66DA25DD-A223-4ABC-BBC7-8B65EDBECC43}" name="Pre Count" totalsRowFunction="sum" dataDxfId="260" totalsRowDxfId="253" dataCellStyle="style1574674161814"/>
    <tableColumn id="3" xr3:uid="{A44E227B-4662-4243-8BA5-0A443F57E536}" name="Pre Count %" totalsRowFunction="sum" dataDxfId="259" totalsRowDxfId="252" dataCellStyle="style1574674161875"/>
    <tableColumn id="4" xr3:uid="{60EE1055-AF74-43AF-9228-71582D2A9A50}" name="Post Count" totalsRowFunction="sum" dataDxfId="258" totalsRowDxfId="251" dataCellStyle="style1574674161938"/>
    <tableColumn id="5" xr3:uid="{F903F95E-0BC2-4E96-9F5E-4FA889C777E8}" name="Post Count %" totalsRowFunction="sum" dataDxfId="257" totalsRowDxfId="254" dataCellStyle="style1574674161985" totalsRowCellStyle="style1574674161985"/>
  </tableColumns>
  <tableStyleInfo name="TableStyleMedium25" showFirstColumn="1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32A8999-0BC4-4804-9B49-3FD04332AE4D}" name="Table9" displayName="Table9" ref="A44:E48" totalsRowCount="1" headerRowDxfId="1123" headerRowBorderDxfId="1130" tableBorderDxfId="1131" totalsRowBorderDxfId="1129" headerRowCellStyle="style1574674158919">
  <autoFilter ref="A44:E47" xr:uid="{D638571F-3A13-406A-9D75-427F0D88E673}"/>
  <tableColumns count="5">
    <tableColumn id="1" xr3:uid="{BFFE9ABC-AF11-4323-AE18-4532AB982848}" name="Response" totalsRowLabel="Total" dataDxfId="1128" totalsRowDxfId="1122" dataCellStyle="style1574674159011" totalsRowCellStyle="style1574674159011"/>
    <tableColumn id="2" xr3:uid="{DC0E130D-D8D0-4CB1-85FF-0534B727DBDB}" name="Pre Count" totalsRowFunction="sum" dataDxfId="1127" totalsRowDxfId="1120" dataCellStyle="style1574674161814"/>
    <tableColumn id="3" xr3:uid="{73055D62-B7F9-4FA0-90FB-D95715BC3D49}" name="Pre Count %" totalsRowFunction="sum" dataDxfId="1126" totalsRowDxfId="1119" dataCellStyle="style1574674161875"/>
    <tableColumn id="4" xr3:uid="{E504F17E-4127-4314-8B8D-562CADDAC6A2}" name="Post Count" totalsRowFunction="sum" dataDxfId="1125" totalsRowDxfId="1118" dataCellStyle="style1574674161938"/>
    <tableColumn id="5" xr3:uid="{DEC50579-6E0B-41A8-9CDC-14B8DD6C2468}" name="Post Count %" totalsRowFunction="sum" dataDxfId="1124" totalsRowDxfId="1121" dataCellStyle="style1574674161985" totalsRowCellStyle="style1574674161985"/>
  </tableColumns>
  <tableStyleInfo name="TableStyleMedium25" showFirstColumn="1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10573CFC-BAE0-4DAE-BA0A-1E9D990ECCC4}" name="Table73" displayName="Table73" ref="A604:E610" totalsRowCount="1" headerRowDxfId="242" headerRowBorderDxfId="249" tableBorderDxfId="250" totalsRowBorderDxfId="248" headerRowCellStyle="style1574674158919">
  <autoFilter ref="A604:E609" xr:uid="{5B361B5A-0830-410B-AFEA-C3BBD475E391}"/>
  <tableColumns count="5">
    <tableColumn id="1" xr3:uid="{8EFE8280-9BA0-44BB-A76A-DE55E97BBC03}" name="Response" totalsRowLabel="Total" dataDxfId="247" totalsRowDxfId="241" dataCellStyle="style1574674159011" totalsRowCellStyle="style1574674159011"/>
    <tableColumn id="2" xr3:uid="{CD68A5AB-D3B5-45CC-9039-04B8CB54A5DE}" name="Pre Count" totalsRowFunction="sum" dataDxfId="246" totalsRowDxfId="239" dataCellStyle="style1574674161814"/>
    <tableColumn id="3" xr3:uid="{D268582F-0D3C-49CC-BE33-91A02D23E951}" name="Pre Count %" totalsRowFunction="sum" dataDxfId="245" totalsRowDxfId="238" dataCellStyle="style1574674161875"/>
    <tableColumn id="4" xr3:uid="{8A48A866-93CB-4C3E-A2DB-DCAD1A6F3D14}" name="Post Count" totalsRowFunction="sum" dataDxfId="244" totalsRowDxfId="237" dataCellStyle="style1574674161938"/>
    <tableColumn id="5" xr3:uid="{D8E8E696-B09D-4130-8C51-BCD0EB2514A2}" name="Post Count %" totalsRowFunction="sum" dataDxfId="243" totalsRowDxfId="240" dataCellStyle="style1574674161985" totalsRowCellStyle="style1574674161985"/>
  </tableColumns>
  <tableStyleInfo name="TableStyleMedium25" showFirstColumn="1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46F02C14-5118-4928-9745-F74BD1D62757}" name="Table74" displayName="Table74" ref="A613:E619" totalsRowCount="1" headerRowDxfId="228" headerRowBorderDxfId="235" tableBorderDxfId="236" totalsRowBorderDxfId="234" headerRowCellStyle="style1574674158919">
  <autoFilter ref="A613:E618" xr:uid="{B253236C-BA3A-45DC-89FE-2724B1B5F44F}"/>
  <tableColumns count="5">
    <tableColumn id="1" xr3:uid="{4D845393-4F91-4B8B-B704-7632ABD0A86C}" name="Response" totalsRowLabel="Total" dataDxfId="233" totalsRowDxfId="227" dataCellStyle="style1574674159011" totalsRowCellStyle="style1574674159011"/>
    <tableColumn id="2" xr3:uid="{E6284BC0-A0B7-4A51-8B29-056C6A4D030F}" name="Pre Count" totalsRowFunction="sum" dataDxfId="232" totalsRowDxfId="225" dataCellStyle="style1574674161814"/>
    <tableColumn id="3" xr3:uid="{ABD0F453-1F12-4D1F-A2A7-26C218ED8B44}" name="Pre Count %" totalsRowFunction="sum" dataDxfId="231" totalsRowDxfId="224" dataCellStyle="style1574674161875"/>
    <tableColumn id="4" xr3:uid="{C36B2181-05E6-4928-B8AD-0FFBAF23821D}" name="Post Count" totalsRowFunction="sum" dataDxfId="230" totalsRowDxfId="223" dataCellStyle="style1574674161938"/>
    <tableColumn id="5" xr3:uid="{22C95A52-2B20-4970-955E-4EC1D325481A}" name="Post Count %" totalsRowFunction="sum" dataDxfId="229" totalsRowDxfId="226" dataCellStyle="style1574674161985" totalsRowCellStyle="style1574674161985"/>
  </tableColumns>
  <tableStyleInfo name="TableStyleMedium25" showFirstColumn="1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FAE6E64A-13ED-4FC3-A400-CED4A5CF51E6}" name="Table75" displayName="Table75" ref="A622:E628" totalsRowCount="1" headerRowDxfId="214" headerRowBorderDxfId="221" tableBorderDxfId="222" totalsRowBorderDxfId="220" headerRowCellStyle="style1574674158919">
  <autoFilter ref="A622:E627" xr:uid="{DAB795AE-D8DD-4DDD-8D74-FA8D14F8602A}"/>
  <tableColumns count="5">
    <tableColumn id="1" xr3:uid="{50225F7F-7914-4D11-8E20-55B600B7A53C}" name="Response" totalsRowLabel="Total" dataDxfId="219" totalsRowDxfId="213" dataCellStyle="style1574674159011" totalsRowCellStyle="style1574674159011"/>
    <tableColumn id="2" xr3:uid="{3F254C49-58AD-4FCB-98B5-908DA166081D}" name="Pre Count" totalsRowFunction="sum" dataDxfId="218" totalsRowDxfId="211" dataCellStyle="style1574674161814"/>
    <tableColumn id="3" xr3:uid="{1FF5F4BC-3EF4-47B9-8B06-924580328989}" name="Pre Count %" totalsRowFunction="sum" dataDxfId="217" totalsRowDxfId="210" dataCellStyle="style1574674161875"/>
    <tableColumn id="4" xr3:uid="{EF01BE00-45F2-4632-A30E-ABEE2F1EAD44}" name="Post Count" totalsRowFunction="sum" dataDxfId="216" totalsRowDxfId="209" dataCellStyle="style1574674161938"/>
    <tableColumn id="5" xr3:uid="{2331C131-4BFB-4B40-9239-0A40ADBF1499}" name="Post Count %" totalsRowFunction="sum" dataDxfId="215" totalsRowDxfId="212" dataCellStyle="style1574674161985" totalsRowCellStyle="style1574674161985"/>
  </tableColumns>
  <tableStyleInfo name="TableStyleMedium25" showFirstColumn="1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FE71FD72-2EB4-402A-9A1F-2C186AEA4011}" name="Table76" displayName="Table76" ref="A631:E639" totalsRowCount="1" headerRowDxfId="200" headerRowBorderDxfId="207" tableBorderDxfId="208" totalsRowBorderDxfId="206" headerRowCellStyle="style1574674158919">
  <autoFilter ref="A631:E638" xr:uid="{EFCF9305-7AF7-486C-A540-AFE009326EB8}"/>
  <tableColumns count="5">
    <tableColumn id="1" xr3:uid="{26B69716-B42B-4F67-A97F-CEFD81BCB6A2}" name="Response" totalsRowLabel="Total" dataDxfId="205" totalsRowDxfId="199" dataCellStyle="style1574674159011" totalsRowCellStyle="style1574674159011"/>
    <tableColumn id="2" xr3:uid="{7C8C2216-C728-4C77-936D-97194F154A47}" name="Pre Count" totalsRowFunction="sum" dataDxfId="204" totalsRowDxfId="197" dataCellStyle="style1574674161814"/>
    <tableColumn id="3" xr3:uid="{777FE78C-0C92-4D5E-8674-DF8934714E9B}" name="Pre Count %" totalsRowFunction="sum" dataDxfId="203" totalsRowDxfId="196" dataCellStyle="style1574674161875"/>
    <tableColumn id="4" xr3:uid="{8D4B316E-8F4D-4F86-926A-BB2DCEBD4F72}" name="Post Count" totalsRowFunction="sum" dataDxfId="202" totalsRowDxfId="195" dataCellStyle="style1574674161938"/>
    <tableColumn id="5" xr3:uid="{2C241F45-F841-45EA-A75B-2AB5ADF738DC}" name="Post Count %" totalsRowFunction="sum" dataDxfId="201" totalsRowDxfId="198" dataCellStyle="style1574674161985" totalsRowCellStyle="style1574674161985"/>
  </tableColumns>
  <tableStyleInfo name="TableStyleMedium25" showFirstColumn="1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58C66FAF-3336-4209-831D-12C7A4FE7FB0}" name="Table77" displayName="Table77" ref="A643:E656" totalsRowCount="1" headerRowDxfId="186" headerRowBorderDxfId="193" tableBorderDxfId="194" totalsRowBorderDxfId="192" headerRowCellStyle="style1574674158919">
  <autoFilter ref="A643:E655" xr:uid="{06ACE4DA-5047-446C-B85E-380CAA504C9C}"/>
  <tableColumns count="5">
    <tableColumn id="1" xr3:uid="{3D15DD0E-1194-4F45-9C41-5EB7AC9EB86C}" name="Response" totalsRowLabel="Total" dataDxfId="191" totalsRowDxfId="185" dataCellStyle="style1574674159011" totalsRowCellStyle="style1574674159011"/>
    <tableColumn id="2" xr3:uid="{A372345B-B307-44F2-878A-064D5AB9456B}" name="Pre Count" totalsRowFunction="sum" dataDxfId="190" totalsRowDxfId="183" dataCellStyle="style1574674161814"/>
    <tableColumn id="3" xr3:uid="{0BDE007D-07F8-43CB-8702-6750BB14215F}" name="Pre Count %" totalsRowFunction="sum" dataDxfId="189" totalsRowDxfId="182" dataCellStyle="style1574674161875"/>
    <tableColumn id="4" xr3:uid="{951F2E39-724D-4A76-885A-1529F4D282A8}" name="Post Count" totalsRowFunction="sum" dataDxfId="188" totalsRowDxfId="181" dataCellStyle="style1574674161938"/>
    <tableColumn id="5" xr3:uid="{FDB6CD97-DF1E-4D27-962F-D730B1965DBD}" name="Post Count %" totalsRowFunction="sum" dataDxfId="187" totalsRowDxfId="184" dataCellStyle="style1574674161985" totalsRowCellStyle="style1574674161985"/>
  </tableColumns>
  <tableStyleInfo name="TableStyleMedium25" showFirstColumn="1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6E777854-2368-4B65-99E5-DECAC8174A6D}" name="Table78" displayName="Table78" ref="A659:E664" totalsRowCount="1" headerRowDxfId="172" headerRowBorderDxfId="179" tableBorderDxfId="180" totalsRowBorderDxfId="178" headerRowCellStyle="style1574674158919">
  <autoFilter ref="A659:E663" xr:uid="{C2E2D505-A368-47A8-B4B7-5CE7A62A43C2}"/>
  <tableColumns count="5">
    <tableColumn id="1" xr3:uid="{2D802047-0D13-4DC6-8565-4C0EE366D012}" name="Response" totalsRowLabel="Total" dataDxfId="177" totalsRowDxfId="171" dataCellStyle="style1574674159011" totalsRowCellStyle="style1574674159011"/>
    <tableColumn id="2" xr3:uid="{778968CA-746A-4097-B705-BE7DA701EDFC}" name="Pre Count" totalsRowFunction="sum" dataDxfId="176" totalsRowDxfId="169" dataCellStyle="style1574674161814"/>
    <tableColumn id="3" xr3:uid="{F96231B1-1D53-4967-BB6F-1AC0377A5831}" name="Pre Count %" totalsRowFunction="sum" dataDxfId="175" totalsRowDxfId="168" dataCellStyle="style1574674161875"/>
    <tableColumn id="4" xr3:uid="{317D0E78-55E4-4AEB-A889-5464EDC853B1}" name="Post Count" totalsRowFunction="sum" dataDxfId="174" totalsRowDxfId="167" dataCellStyle="style1574674161938"/>
    <tableColumn id="5" xr3:uid="{9A7F2F0A-674A-4C40-ACDB-7FE0B274A41D}" name="Post Count %" totalsRowFunction="sum" dataDxfId="173" totalsRowDxfId="170" dataCellStyle="style1574674161985" totalsRowCellStyle="style1574674161985"/>
  </tableColumns>
  <tableStyleInfo name="TableStyleMedium25" showFirstColumn="1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6A5F41FD-6D16-4804-91B1-C8A6E86F3BF4}" name="Table80" displayName="Table80" ref="A668:E692" totalsRowCount="1" headerRowBorderDxfId="165" tableBorderDxfId="166" totalsRowBorderDxfId="164">
  <autoFilter ref="A668:E691" xr:uid="{F99ECCBB-B0FE-4B66-9A03-9D825848F763}"/>
  <tableColumns count="5">
    <tableColumn id="1" xr3:uid="{19076264-09C3-48DC-82E5-9870113261FC}" name="Column1" totalsRowLabel="Total" dataDxfId="163" totalsRowDxfId="158" dataCellStyle="style1574674159011" totalsRowCellStyle="style1574674159011"/>
    <tableColumn id="2" xr3:uid="{15D6BF09-D43D-4FF6-80D0-42650C774424}" name="Column2" totalsRowFunction="sum" dataDxfId="162" totalsRowDxfId="156" dataCellStyle="style1574674161814"/>
    <tableColumn id="3" xr3:uid="{09CC1557-DE30-487B-8152-9CDDCC044636}" name="Column3" totalsRowFunction="sum" dataDxfId="161" totalsRowDxfId="155" dataCellStyle="style1574674161875"/>
    <tableColumn id="4" xr3:uid="{F4EFD8B5-B41C-4376-B44C-1F1D2E700928}" name="Column4" totalsRowFunction="sum" dataDxfId="160" totalsRowDxfId="154" dataCellStyle="style1574674161938"/>
    <tableColumn id="5" xr3:uid="{CA0E3E40-02D0-489F-8648-3E6A2BB7F5B9}" name="Column5" totalsRowFunction="sum" dataDxfId="159" totalsRowDxfId="157" dataCellStyle="style1574674161985" totalsRowCellStyle="style1574674161985"/>
  </tableColumns>
  <tableStyleInfo name="TableStyleMedium25" showFirstColumn="1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A2D1B040-1FC0-4C9A-AF9E-E60A5FE2145C}" name="Table81" displayName="Table81" ref="A697:E726" totalsRowCount="1" headerRowDxfId="145" headerRowBorderDxfId="152" tableBorderDxfId="153" totalsRowBorderDxfId="151" headerRowCellStyle="style1574674158919">
  <autoFilter ref="A697:E725" xr:uid="{C5FA7DEE-58AB-4A0F-AF59-ACA92C7B3844}"/>
  <tableColumns count="5">
    <tableColumn id="1" xr3:uid="{B8B1F06D-63B9-490F-9718-BF8CCF0D2CD5}" name="Response" totalsRowLabel="Total" dataDxfId="150" totalsRowDxfId="144" dataCellStyle="style1574674159011" totalsRowCellStyle="style1574674159011"/>
    <tableColumn id="2" xr3:uid="{35D898A2-DC5A-4D89-ABCC-E6AB5028706B}" name="Pre Count" totalsRowFunction="sum" dataDxfId="149" totalsRowDxfId="142" dataCellStyle="style1574674161814"/>
    <tableColumn id="3" xr3:uid="{035B7185-5D92-4F57-9D4C-734066FD4D14}" name="Pre Count %" totalsRowFunction="sum" dataDxfId="148" totalsRowDxfId="141" dataCellStyle="style1574674161875"/>
    <tableColumn id="4" xr3:uid="{6C5ABE5A-E322-49D6-8D84-ECD543F4B129}" name="Post Count" totalsRowFunction="sum" dataDxfId="147" totalsRowDxfId="140" dataCellStyle="style1574674161938"/>
    <tableColumn id="5" xr3:uid="{C19F04A5-FB39-44D7-88AA-8235D2569FDE}" name="Post Count %" totalsRowFunction="sum" dataDxfId="146" totalsRowDxfId="143" dataCellStyle="style1574674161985" totalsRowCellStyle="style1574674161985"/>
  </tableColumns>
  <tableStyleInfo name="TableStyleMedium25" showFirstColumn="1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8824DE20-B21B-496C-9472-6A1805B0A28A}" name="Table82" displayName="Table82" ref="A729:E746" totalsRowCount="1" headerRowDxfId="131" headerRowBorderDxfId="138" tableBorderDxfId="139" totalsRowBorderDxfId="137" headerRowCellStyle="style1574674158919">
  <autoFilter ref="A729:E745" xr:uid="{DAFF963E-414D-49C6-861D-EB2DCC30D029}"/>
  <tableColumns count="5">
    <tableColumn id="1" xr3:uid="{8D39ABCA-D813-4C59-8DFC-D75E56F678AE}" name="Response" totalsRowLabel="Total" dataDxfId="136" totalsRowDxfId="130" dataCellStyle="style1574674159011" totalsRowCellStyle="style1574674159011"/>
    <tableColumn id="2" xr3:uid="{AF669D41-8598-40CE-83E8-3C675B299313}" name="Pre Count" totalsRowFunction="sum" dataDxfId="135" totalsRowDxfId="128" dataCellStyle="style1574674161814"/>
    <tableColumn id="3" xr3:uid="{B5C02107-6D6E-4BE1-8515-C451CEB07368}" name="Pre Count %" totalsRowFunction="sum" dataDxfId="134" totalsRowDxfId="127" dataCellStyle="style1574674161875"/>
    <tableColumn id="4" xr3:uid="{911C311B-CF4D-43AC-A728-81593F08FB04}" name="Post Count" totalsRowFunction="sum" dataDxfId="133" totalsRowDxfId="126" dataCellStyle="style1574674161938"/>
    <tableColumn id="5" xr3:uid="{216372DA-8883-4D5E-8672-750064A8418D}" name="Post Count %" totalsRowFunction="sum" dataDxfId="132" totalsRowDxfId="129" dataCellStyle="style1574674161985" totalsRowCellStyle="style1574674161985"/>
  </tableColumns>
  <tableStyleInfo name="TableStyleMedium25" showFirstColumn="1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C3B59306-98D1-4FFF-B7D7-1B1B89BA8E79}" name="Table83" displayName="Table83" ref="A749:E784" totalsRowCount="1" headerRowDxfId="117" headerRowBorderDxfId="124" tableBorderDxfId="125" totalsRowBorderDxfId="123" headerRowCellStyle="style1574674158919">
  <autoFilter ref="A749:E783" xr:uid="{E3250AF1-A96E-4988-8B74-F37BA92B03F3}"/>
  <tableColumns count="5">
    <tableColumn id="1" xr3:uid="{1D5B23A9-A232-43DF-B40D-D05AD0648F7E}" name="Response" totalsRowLabel="Total" dataDxfId="122" totalsRowDxfId="116" dataCellStyle="style1574674159011" totalsRowCellStyle="style1574674159011"/>
    <tableColumn id="2" xr3:uid="{B6DCEE0E-2C07-44F4-B7BA-A54E469A9E8B}" name="Pre Count" totalsRowFunction="sum" dataDxfId="121" totalsRowDxfId="114" dataCellStyle="style1574674161814"/>
    <tableColumn id="3" xr3:uid="{B33B943C-D3E4-4949-867B-73CD72BDF847}" name="Pre Count %" totalsRowFunction="sum" dataDxfId="120" totalsRowDxfId="113" dataCellStyle="style1574674161875"/>
    <tableColumn id="4" xr3:uid="{A509BCB7-DA51-4ED7-93DA-6214036C8B58}" name="Post Count" totalsRowFunction="sum" dataDxfId="119" totalsRowDxfId="112" dataCellStyle="style1574674161938"/>
    <tableColumn id="5" xr3:uid="{2F7B330F-1D93-41E2-B95F-8F695BA6678F}" name="Post Count %" totalsRowFunction="sum" dataDxfId="118" totalsRowDxfId="115" dataCellStyle="style1574674161985" totalsRowCellStyle="style1574674161985"/>
  </tableColumns>
  <tableStyleInfo name="TableStyleMedium25" showFirstColumn="1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FD5EDA9-6BE7-4682-9C07-D158FCDC9691}" name="Table10" displayName="Table10" ref="A51:E55" totalsRowCount="1" headerRowDxfId="1109" headerRowBorderDxfId="1116" tableBorderDxfId="1117" totalsRowBorderDxfId="1115" headerRowCellStyle="style1574674158919">
  <autoFilter ref="A51:E54" xr:uid="{C83F9CAF-3777-45AB-BFBB-899225979651}"/>
  <tableColumns count="5">
    <tableColumn id="1" xr3:uid="{BC1AE2DC-F52E-4049-932E-48444AB454C0}" name="Response" totalsRowLabel="Total" dataDxfId="1114" totalsRowDxfId="1108" dataCellStyle="style1574674159011" totalsRowCellStyle="style1574674159011"/>
    <tableColumn id="2" xr3:uid="{2687EBA2-2697-4FA3-9DB6-48DBCCA55C30}" name="Pre Count" totalsRowFunction="sum" dataDxfId="1113" totalsRowDxfId="1106" dataCellStyle="style1574674161814"/>
    <tableColumn id="3" xr3:uid="{FAD9F47C-BEFE-4A63-949A-0D45E22480FA}" name="Pre Count %" totalsRowFunction="sum" dataDxfId="1112" totalsRowDxfId="1105" dataCellStyle="style1574674161875"/>
    <tableColumn id="4" xr3:uid="{2F30D0D5-7A74-4DA4-9A1A-328D2BCE6372}" name="Post Count" totalsRowFunction="sum" dataDxfId="1111" totalsRowDxfId="1104" dataCellStyle="style1574674161938"/>
    <tableColumn id="5" xr3:uid="{61BBC3A6-D8EB-4CD8-8DA5-FAEB27FA5F48}" name="Post Count %" totalsRowFunction="sum" dataDxfId="1110" totalsRowDxfId="1107" dataCellStyle="style1574674161985" totalsRowCellStyle="style1574674161985"/>
  </tableColumns>
  <tableStyleInfo name="TableStyleMedium25" showFirstColumn="1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F7D69CE3-5ED1-4979-B27A-6A6E7378A2AF}" name="Table84" displayName="Table84" ref="A787:E807" totalsRowCount="1" headerRowDxfId="103" headerRowBorderDxfId="110" tableBorderDxfId="111" totalsRowBorderDxfId="109" headerRowCellStyle="style1574674158919">
  <autoFilter ref="A787:E806" xr:uid="{ECC55235-FC51-47D0-AE75-5481D7AF0569}"/>
  <tableColumns count="5">
    <tableColumn id="1" xr3:uid="{C53B9AA0-13FA-4C51-9D96-7B79A9102D8C}" name="Response" totalsRowLabel="Total" dataDxfId="108" totalsRowDxfId="102" dataCellStyle="style1574674159011" totalsRowCellStyle="style1574674159011"/>
    <tableColumn id="2" xr3:uid="{377D3BFD-C9A8-461E-83C3-0383BEC4C88E}" name="Pre Count" totalsRowFunction="sum" dataDxfId="107" totalsRowDxfId="100" dataCellStyle="style1574674161814"/>
    <tableColumn id="3" xr3:uid="{72F21F9A-478D-46FF-8707-0CFA37630F26}" name="Pre Count %" totalsRowFunction="sum" dataDxfId="106" totalsRowDxfId="99" dataCellStyle="style1574674161875"/>
    <tableColumn id="4" xr3:uid="{4D282574-B519-4CD7-AFA0-E1F10712183B}" name="Post Count" totalsRowFunction="sum" dataDxfId="105" totalsRowDxfId="98" dataCellStyle="style1574674161938"/>
    <tableColumn id="5" xr3:uid="{AB535AA6-FDBA-40EF-9C73-9A36951A5913}" name="Post Count %" totalsRowFunction="sum" dataDxfId="104" totalsRowDxfId="101" dataCellStyle="style1574674161985" totalsRowCellStyle="style1574674161985"/>
  </tableColumns>
  <tableStyleInfo name="TableStyleMedium25" showFirstColumn="1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36B52148-DF35-4AF6-BEB7-9F5A612B5129}" name="Table88" displayName="Table88" ref="A810:E819" totalsRowCount="1" headerRowDxfId="89" headerRowBorderDxfId="96" tableBorderDxfId="97" totalsRowBorderDxfId="95" headerRowCellStyle="style1574674158919">
  <autoFilter ref="A810:E818" xr:uid="{AAF67579-C39C-4E45-AB1B-AB9D337E7374}"/>
  <tableColumns count="5">
    <tableColumn id="1" xr3:uid="{0A0C7977-6D50-439B-85A9-C7B59E985D6B}" name="Response" totalsRowLabel="Total" dataDxfId="94" totalsRowDxfId="88" dataCellStyle="style1574674159011" totalsRowCellStyle="style1574674159011"/>
    <tableColumn id="2" xr3:uid="{575CFC10-9537-42BB-BB3F-51D46C69D76D}" name="Pre Count" totalsRowFunction="sum" dataDxfId="93" totalsRowDxfId="86" dataCellStyle="style1574674161814"/>
    <tableColumn id="3" xr3:uid="{0FA8CDC7-EE08-486D-A72D-CEFF3FF15F63}" name="Pre Count %" totalsRowFunction="sum" dataDxfId="92" totalsRowDxfId="85" dataCellStyle="style1574674161875"/>
    <tableColumn id="4" xr3:uid="{E2FFE245-7534-466F-936F-D26093E1EC78}" name="Post Count" totalsRowFunction="sum" dataDxfId="91" totalsRowDxfId="84" dataCellStyle="style1574674161938"/>
    <tableColumn id="5" xr3:uid="{3C16E6E7-E85A-405D-BB3C-6185FC2E51A2}" name="Post Count %" totalsRowFunction="sum" dataDxfId="90" totalsRowDxfId="87" dataCellStyle="style1574674161985" totalsRowCellStyle="style1574674161985"/>
  </tableColumns>
  <tableStyleInfo name="TableStyleMedium25" showFirstColumn="1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711B9083-C43E-4E14-B69B-50A5C1BC95FB}" name="Table89" displayName="Table89" ref="A822:E825" totalsRowCount="1" headerRowDxfId="75" headerRowBorderDxfId="82" tableBorderDxfId="83" totalsRowBorderDxfId="81" headerRowCellStyle="style1574674158919">
  <autoFilter ref="A822:E824" xr:uid="{A84FE225-94A5-4584-9D33-CF53D9B655DA}"/>
  <tableColumns count="5">
    <tableColumn id="1" xr3:uid="{361C7E44-A654-4762-8B21-8647E04705C9}" name="Response" totalsRowLabel="Total" dataDxfId="80" totalsRowDxfId="74" dataCellStyle="style1574674159011" totalsRowCellStyle="style1574674159011"/>
    <tableColumn id="2" xr3:uid="{B2F80A73-1955-478E-871A-B16D2EE486A9}" name="Pre Count" totalsRowFunction="sum" dataDxfId="79" totalsRowDxfId="72" dataCellStyle="style1574674161814"/>
    <tableColumn id="3" xr3:uid="{1133967B-BF2A-4C3A-A2DD-24FD4B548894}" name="Pre Count %" totalsRowFunction="sum" dataDxfId="78" totalsRowDxfId="71" dataCellStyle="style1574674161875"/>
    <tableColumn id="4" xr3:uid="{D0D4A974-2493-46D1-88CF-F1B1C3E01990}" name="Post Count" totalsRowFunction="sum" dataDxfId="77" totalsRowDxfId="70" dataCellStyle="style1574674161938"/>
    <tableColumn id="5" xr3:uid="{8507040E-A6D9-4275-B2F7-472C0056D0E9}" name="Post Count %" totalsRowFunction="sum" dataDxfId="76" totalsRowDxfId="73" dataCellStyle="style1574674161985" totalsRowCellStyle="style1574674161985"/>
  </tableColumns>
  <tableStyleInfo name="TableStyleMedium25" showFirstColumn="1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4731ABC-B53B-4B25-A860-246978812153}" name="Table90" displayName="Table90" ref="A826:E830" totalsRowCount="1" headerRowDxfId="33" headerRowBorderDxfId="34" tableBorderDxfId="69" totalsRowBorderDxfId="68" headerRowCellStyle="style1574674158919">
  <autoFilter ref="A826:E829" xr:uid="{D468AD80-7DC2-49D7-B4FB-93B5A8F90C8B}"/>
  <tableColumns count="5">
    <tableColumn id="1" xr3:uid="{067164B9-9986-454F-BD6D-EDECE0E4D880}" name="Response" totalsRowLabel="Total" dataDxfId="67" totalsRowDxfId="32" dataCellStyle="style1574674159011"/>
    <tableColumn id="2" xr3:uid="{4C519E07-57DD-47D1-8EAC-CCC37ACF466D}" name="Pre Count" totalsRowFunction="sum" dataDxfId="66" totalsRowDxfId="31" dataCellStyle="style1574674161814"/>
    <tableColumn id="3" xr3:uid="{80F92EEB-35B5-4398-B187-065F5442A984}" name="Pre Count %" totalsRowFunction="sum" dataDxfId="65" totalsRowDxfId="30" dataCellStyle="style1574674161875"/>
    <tableColumn id="4" xr3:uid="{4DCCACA5-A260-438C-BA45-2271027E47C2}" name="Post Count" totalsRowFunction="sum" dataDxfId="64" totalsRowDxfId="29" dataCellStyle="style1574674161938"/>
    <tableColumn id="5" xr3:uid="{76B451C1-36B0-44C3-B4A8-F015AAC2C96E}" name="Post Count %" totalsRowFunction="sum" dataDxfId="63" totalsRowDxfId="28" dataCellStyle="style1574674161985"/>
  </tableColumns>
  <tableStyleInfo name="TableStyleMedium25" showFirstColumn="1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B704FAB4-B0D6-47FA-BDF0-490D18A6ADD7}" name="Table91" displayName="Table91" ref="A833:E837" totalsRowCount="1" headerRowDxfId="54" headerRowBorderDxfId="61" tableBorderDxfId="62" totalsRowBorderDxfId="60" headerRowCellStyle="style1574674158919">
  <autoFilter ref="A833:E836" xr:uid="{030CED53-6460-4220-BA7F-D48D79EED62D}"/>
  <tableColumns count="5">
    <tableColumn id="1" xr3:uid="{893DC13B-9C63-43B9-9536-60EEDDC76DD8}" name="Response" totalsRowLabel="Total" dataDxfId="59" totalsRowDxfId="53" dataCellStyle="style1574674159011" totalsRowCellStyle="style1574674159011"/>
    <tableColumn id="2" xr3:uid="{F789F047-DCEC-4A57-9717-5CD7E12FB955}" name="Pre Count" totalsRowFunction="sum" dataDxfId="58" totalsRowDxfId="51" dataCellStyle="style1574674161814"/>
    <tableColumn id="3" xr3:uid="{4D5C521C-E5B0-4EF6-95A3-28B79BBBB92B}" name="Pre Count %" totalsRowFunction="sum" dataDxfId="57" totalsRowDxfId="50" dataCellStyle="style1574674161875"/>
    <tableColumn id="4" xr3:uid="{14A0A66B-95F5-4B17-ABD0-6C122FA25ECF}" name="Post Count" totalsRowFunction="sum" dataDxfId="56" totalsRowDxfId="49" dataCellStyle="style1574674161938"/>
    <tableColumn id="5" xr3:uid="{349D8A9A-E0F9-42F4-A0F3-81790D3DC5B8}" name="Post Count %" totalsRowFunction="sum" dataDxfId="55" totalsRowDxfId="52" dataCellStyle="style1574674161985" totalsRowCellStyle="style1574674161985"/>
  </tableColumns>
  <tableStyleInfo name="TableStyleMedium25" showFirstColumn="1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3E08AB06-FC2A-4125-93E3-E1E7DB6E2969}" name="Table92" displayName="Table92" ref="A840:E877" totalsRowCount="1" headerRowDxfId="40" headerRowBorderDxfId="47" tableBorderDxfId="48" totalsRowBorderDxfId="46" headerRowCellStyle="style1574674158919">
  <autoFilter ref="A840:E876" xr:uid="{59689714-EDEF-4FCA-9C5B-1E2D162A651D}"/>
  <tableColumns count="5">
    <tableColumn id="1" xr3:uid="{5B88C1D9-7B9B-4ACA-BD7A-B105CF3F72B9}" name="Response" totalsRowLabel="Total" dataDxfId="45" totalsRowDxfId="39" dataCellStyle="style1574674159011" totalsRowCellStyle="style1574674159011"/>
    <tableColumn id="2" xr3:uid="{642E9C62-3B37-4458-8E10-FB814702FCE0}" name="Pre Count" totalsRowFunction="sum" dataDxfId="44" totalsRowDxfId="37" dataCellStyle="style1574674161814"/>
    <tableColumn id="3" xr3:uid="{5C686177-1CB6-4D7A-A613-AA0AFDDFB614}" name="Pre Count %" totalsRowFunction="sum" dataDxfId="43" totalsRowDxfId="36" dataCellStyle="style1574674161875"/>
    <tableColumn id="4" xr3:uid="{AC619585-FF81-4D2B-9902-6501A9610C0B}" name="Post Count" totalsRowFunction="sum" dataDxfId="42" totalsRowDxfId="35" dataCellStyle="style1574674161938"/>
    <tableColumn id="5" xr3:uid="{65B9F93E-A9F9-4FDB-802C-36DD15E68A20}" name="Post Count %" totalsRowFunction="sum" dataDxfId="41" totalsRowDxfId="38" dataCellStyle="style1574674161985" totalsRowCellStyle="style1574674161985"/>
  </tableColumns>
  <tableStyleInfo name="TableStyleMedium25" showFirstColumn="1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C270BA0E-14DE-42EB-997D-DDE0FAD0CC00}" name="Table93" displayName="Table93" ref="A880:E885" totalsRowCount="1" headerRowDxfId="19" headerRowBorderDxfId="26" tableBorderDxfId="27" totalsRowBorderDxfId="25" headerRowCellStyle="style1574674158919">
  <autoFilter ref="A880:E884" xr:uid="{719B5016-39E4-4286-AC4A-845A0128423A}"/>
  <tableColumns count="5">
    <tableColumn id="1" xr3:uid="{94AE9244-4B50-4F8F-8999-C3ECBFF002CF}" name="Response" totalsRowLabel="Total" dataDxfId="24" totalsRowDxfId="18" dataCellStyle="style1574674159011" totalsRowCellStyle="style1574674159011"/>
    <tableColumn id="2" xr3:uid="{781C5DDD-8AB8-49B2-8A82-3890A6931F72}" name="Pre Count" totalsRowFunction="sum" dataDxfId="23" totalsRowDxfId="16" dataCellStyle="style1574674161814"/>
    <tableColumn id="3" xr3:uid="{A13466C4-BDC5-4D7D-B9D4-70EC3548D32E}" name="Pre Count %" totalsRowFunction="sum" dataDxfId="22" totalsRowDxfId="15" dataCellStyle="style1574674161875"/>
    <tableColumn id="4" xr3:uid="{94A774F9-D1D2-4185-A00B-845D52EE0E75}" name="Post Count" totalsRowFunction="sum" dataDxfId="21" totalsRowDxfId="14" dataCellStyle="style1574674161938"/>
    <tableColumn id="5" xr3:uid="{02E313C3-CEB8-4E0C-AFA0-D09D3EDA172D}" name="Post Count %" totalsRowFunction="sum" dataDxfId="20" totalsRowDxfId="17" dataCellStyle="style1574674161985" totalsRowCellStyle="style1574674161985"/>
  </tableColumns>
  <tableStyleInfo name="TableStyleMedium25" showFirstColumn="1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43F594CD-E225-41DB-8528-059E5C0E0348}" name="Table94" displayName="Table94" ref="A888:E944" totalsRowCount="1" headerRowDxfId="5" headerRowBorderDxfId="12" tableBorderDxfId="13" totalsRowBorderDxfId="11" headerRowCellStyle="style1574674158919">
  <autoFilter ref="A888:E943" xr:uid="{B8F68FC8-4E21-47FC-A680-924E80CB3EA6}"/>
  <tableColumns count="5">
    <tableColumn id="1" xr3:uid="{7BCFDB62-09D1-4E35-A87C-F6BB4EB56486}" name="Response" totalsRowLabel="Total" dataDxfId="10" totalsRowDxfId="4" dataCellStyle="style1574674159011" totalsRowCellStyle="style1574674159011"/>
    <tableColumn id="2" xr3:uid="{C0BD204C-CB76-4EE1-B099-AFFB604F63C3}" name="Pre Count" totalsRowFunction="sum" dataDxfId="9" totalsRowDxfId="2" dataCellStyle="style1574674161814"/>
    <tableColumn id="3" xr3:uid="{BA02713B-FF82-40F4-B6C9-C12B15BB019E}" name="Pre Count %" totalsRowFunction="sum" dataDxfId="8" totalsRowDxfId="1" dataCellStyle="style1574674161875"/>
    <tableColumn id="4" xr3:uid="{67783A10-8973-4F7F-9955-BAD4EC1495DC}" name="Post Count" totalsRowFunction="sum" dataDxfId="7" totalsRowDxfId="0" dataCellStyle="style1574674161938"/>
    <tableColumn id="5" xr3:uid="{D983F5FA-60EF-446D-B791-B7DBAF330F1E}" name="Post Count %" totalsRowFunction="sum" dataDxfId="6" totalsRowDxfId="3" dataCellStyle="style1574674161985" totalsRowCellStyle="style1574674161985"/>
  </tableColumns>
  <tableStyleInfo name="TableStyleMedium25" showFirstColumn="1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C500132-3767-4F8F-A00E-1549C2E86BBA}" name="Table11" displayName="Table11" ref="A58:E62" totalsRowCount="1" headerRowDxfId="1095" headerRowBorderDxfId="1102" tableBorderDxfId="1103" totalsRowBorderDxfId="1101" headerRowCellStyle="style1574674158919">
  <autoFilter ref="A58:E61" xr:uid="{2C73B12B-F95C-4E1B-9365-7AD433E032CB}"/>
  <tableColumns count="5">
    <tableColumn id="1" xr3:uid="{222F9E3B-0B7B-45BC-9FED-22182E5F75EB}" name="Response" totalsRowLabel="Total" dataDxfId="1100" totalsRowDxfId="1094" dataCellStyle="style1574674159011" totalsRowCellStyle="style1574674159011"/>
    <tableColumn id="2" xr3:uid="{68C5D3A0-047C-4922-92D0-02CEFA4CA803}" name="Pre Count" totalsRowFunction="sum" dataDxfId="1099" totalsRowDxfId="1092" dataCellStyle="style1574674161814"/>
    <tableColumn id="3" xr3:uid="{48356BBD-079E-41BE-A997-BF1DEFE2781A}" name="Pre Count %" totalsRowFunction="sum" dataDxfId="1098" totalsRowDxfId="1091" dataCellStyle="style1574674161875"/>
    <tableColumn id="4" xr3:uid="{AD809BFF-D62B-49FE-ADD8-531E887311F5}" name="Post Count" totalsRowFunction="sum" dataDxfId="1097" totalsRowDxfId="1090" dataCellStyle="style1574674161938"/>
    <tableColumn id="5" xr3:uid="{69A06DC2-CCED-4A55-8745-400962873D61}" name="Post Count %" totalsRowFunction="sum" dataDxfId="1096" totalsRowDxfId="1093" dataCellStyle="style1574674161985" totalsRowCellStyle="style1574674161985"/>
  </tableColumns>
  <tableStyleInfo name="TableStyleMedium25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55" Type="http://schemas.openxmlformats.org/officeDocument/2006/relationships/table" Target="../tables/table55.xml"/><Relationship Id="rId63" Type="http://schemas.openxmlformats.org/officeDocument/2006/relationships/table" Target="../tables/table63.xml"/><Relationship Id="rId68" Type="http://schemas.openxmlformats.org/officeDocument/2006/relationships/table" Target="../tables/table68.xml"/><Relationship Id="rId76" Type="http://schemas.openxmlformats.org/officeDocument/2006/relationships/table" Target="../tables/table76.xml"/><Relationship Id="rId84" Type="http://schemas.openxmlformats.org/officeDocument/2006/relationships/table" Target="../tables/table84.xml"/><Relationship Id="rId7" Type="http://schemas.openxmlformats.org/officeDocument/2006/relationships/table" Target="../tables/table7.xml"/><Relationship Id="rId71" Type="http://schemas.openxmlformats.org/officeDocument/2006/relationships/table" Target="../tables/table71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3" Type="http://schemas.openxmlformats.org/officeDocument/2006/relationships/table" Target="../tables/table53.xml"/><Relationship Id="rId58" Type="http://schemas.openxmlformats.org/officeDocument/2006/relationships/table" Target="../tables/table58.xml"/><Relationship Id="rId66" Type="http://schemas.openxmlformats.org/officeDocument/2006/relationships/table" Target="../tables/table66.xml"/><Relationship Id="rId74" Type="http://schemas.openxmlformats.org/officeDocument/2006/relationships/table" Target="../tables/table74.xml"/><Relationship Id="rId79" Type="http://schemas.openxmlformats.org/officeDocument/2006/relationships/table" Target="../tables/table79.xml"/><Relationship Id="rId87" Type="http://schemas.openxmlformats.org/officeDocument/2006/relationships/table" Target="../tables/table87.xml"/><Relationship Id="rId5" Type="http://schemas.openxmlformats.org/officeDocument/2006/relationships/table" Target="../tables/table5.xml"/><Relationship Id="rId61" Type="http://schemas.openxmlformats.org/officeDocument/2006/relationships/table" Target="../tables/table61.xml"/><Relationship Id="rId82" Type="http://schemas.openxmlformats.org/officeDocument/2006/relationships/table" Target="../tables/table82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56" Type="http://schemas.openxmlformats.org/officeDocument/2006/relationships/table" Target="../tables/table56.xml"/><Relationship Id="rId64" Type="http://schemas.openxmlformats.org/officeDocument/2006/relationships/table" Target="../tables/table64.xml"/><Relationship Id="rId69" Type="http://schemas.openxmlformats.org/officeDocument/2006/relationships/table" Target="../tables/table69.xml"/><Relationship Id="rId77" Type="http://schemas.openxmlformats.org/officeDocument/2006/relationships/table" Target="../tables/table77.xml"/><Relationship Id="rId8" Type="http://schemas.openxmlformats.org/officeDocument/2006/relationships/table" Target="../tables/table8.xml"/><Relationship Id="rId51" Type="http://schemas.openxmlformats.org/officeDocument/2006/relationships/table" Target="../tables/table51.xml"/><Relationship Id="rId72" Type="http://schemas.openxmlformats.org/officeDocument/2006/relationships/table" Target="../tables/table72.xml"/><Relationship Id="rId80" Type="http://schemas.openxmlformats.org/officeDocument/2006/relationships/table" Target="../tables/table80.xml"/><Relationship Id="rId85" Type="http://schemas.openxmlformats.org/officeDocument/2006/relationships/table" Target="../tables/table85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59" Type="http://schemas.openxmlformats.org/officeDocument/2006/relationships/table" Target="../tables/table59.xml"/><Relationship Id="rId67" Type="http://schemas.openxmlformats.org/officeDocument/2006/relationships/table" Target="../tables/table67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54" Type="http://schemas.openxmlformats.org/officeDocument/2006/relationships/table" Target="../tables/table54.xml"/><Relationship Id="rId62" Type="http://schemas.openxmlformats.org/officeDocument/2006/relationships/table" Target="../tables/table62.xml"/><Relationship Id="rId70" Type="http://schemas.openxmlformats.org/officeDocument/2006/relationships/table" Target="../tables/table70.xml"/><Relationship Id="rId75" Type="http://schemas.openxmlformats.org/officeDocument/2006/relationships/table" Target="../tables/table75.xml"/><Relationship Id="rId83" Type="http://schemas.openxmlformats.org/officeDocument/2006/relationships/table" Target="../tables/table83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57" Type="http://schemas.openxmlformats.org/officeDocument/2006/relationships/table" Target="../tables/table57.xml"/><Relationship Id="rId10" Type="http://schemas.openxmlformats.org/officeDocument/2006/relationships/table" Target="../tables/table10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52" Type="http://schemas.openxmlformats.org/officeDocument/2006/relationships/table" Target="../tables/table52.xml"/><Relationship Id="rId60" Type="http://schemas.openxmlformats.org/officeDocument/2006/relationships/table" Target="../tables/table60.xml"/><Relationship Id="rId65" Type="http://schemas.openxmlformats.org/officeDocument/2006/relationships/table" Target="../tables/table65.xml"/><Relationship Id="rId73" Type="http://schemas.openxmlformats.org/officeDocument/2006/relationships/table" Target="../tables/table73.xml"/><Relationship Id="rId78" Type="http://schemas.openxmlformats.org/officeDocument/2006/relationships/table" Target="../tables/table78.xml"/><Relationship Id="rId81" Type="http://schemas.openxmlformats.org/officeDocument/2006/relationships/table" Target="../tables/table81.xml"/><Relationship Id="rId86" Type="http://schemas.openxmlformats.org/officeDocument/2006/relationships/table" Target="../tables/table8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44"/>
  <sheetViews>
    <sheetView tabSelected="1" topLeftCell="A927" zoomScale="130" zoomScaleNormal="130" workbookViewId="0">
      <selection activeCell="D950" sqref="D950"/>
    </sheetView>
  </sheetViews>
  <sheetFormatPr defaultColWidth="8.77734375" defaultRowHeight="14.4" x14ac:dyDescent="0.3"/>
  <cols>
    <col min="1" max="1" width="44.5546875" customWidth="1"/>
    <col min="2" max="2" width="28.5546875" customWidth="1"/>
    <col min="3" max="3" width="16.33203125" customWidth="1"/>
    <col min="4" max="4" width="15" customWidth="1"/>
    <col min="5" max="5" width="17.44140625" customWidth="1"/>
  </cols>
  <sheetData>
    <row r="1" spans="1:5" ht="15.6" x14ac:dyDescent="0.3">
      <c r="A1" s="12" t="s">
        <v>284</v>
      </c>
      <c r="B1" s="12"/>
      <c r="C1" s="12"/>
      <c r="D1" s="12"/>
      <c r="E1" s="12"/>
    </row>
    <row r="2" spans="1:5" ht="15.6" x14ac:dyDescent="0.3">
      <c r="A2" s="11" t="s">
        <v>278</v>
      </c>
      <c r="B2" s="11" t="s">
        <v>274</v>
      </c>
      <c r="C2" s="11" t="s">
        <v>277</v>
      </c>
      <c r="D2" s="11" t="s">
        <v>275</v>
      </c>
      <c r="E2" s="11" t="s">
        <v>276</v>
      </c>
    </row>
    <row r="3" spans="1:5" ht="15" x14ac:dyDescent="0.3">
      <c r="A3" s="2" t="s">
        <v>1</v>
      </c>
      <c r="B3" s="3">
        <v>38</v>
      </c>
      <c r="C3" s="4">
        <v>0.10079575596816977</v>
      </c>
      <c r="D3" s="5">
        <v>26</v>
      </c>
      <c r="E3" s="6">
        <v>7.5801749271137031E-2</v>
      </c>
    </row>
    <row r="4" spans="1:5" ht="15" x14ac:dyDescent="0.3">
      <c r="A4" s="1" t="s">
        <v>2</v>
      </c>
      <c r="B4" s="7">
        <v>157</v>
      </c>
      <c r="C4" s="8">
        <v>0.41644562334217505</v>
      </c>
      <c r="D4" s="9">
        <v>135</v>
      </c>
      <c r="E4" s="10">
        <v>0.39358600583090381</v>
      </c>
    </row>
    <row r="5" spans="1:5" ht="15" x14ac:dyDescent="0.3">
      <c r="A5" s="1" t="s">
        <v>3</v>
      </c>
      <c r="B5" s="7">
        <v>182</v>
      </c>
      <c r="C5" s="8">
        <v>0.48275862068965514</v>
      </c>
      <c r="D5" s="9">
        <v>182</v>
      </c>
      <c r="E5" s="10">
        <v>0.53061224489795922</v>
      </c>
    </row>
    <row r="6" spans="1:5" s="20" customFormat="1" ht="15.6" x14ac:dyDescent="0.3">
      <c r="A6" s="26" t="s">
        <v>4</v>
      </c>
      <c r="B6" s="28">
        <f>SUBTOTAL(109,Table3[Pre Count])</f>
        <v>377</v>
      </c>
      <c r="C6" s="29">
        <f>SUBTOTAL(109,Table3[Pre Count %])</f>
        <v>1</v>
      </c>
      <c r="D6" s="30">
        <f>SUBTOTAL(109,Table3[Post Count])</f>
        <v>343</v>
      </c>
      <c r="E6" s="27">
        <f>SUBTOTAL(109,Table3[Post Count %])</f>
        <v>1</v>
      </c>
    </row>
    <row r="7" spans="1:5" ht="15" x14ac:dyDescent="0.3">
      <c r="A7" s="15"/>
      <c r="B7" s="16"/>
      <c r="C7" s="17"/>
      <c r="D7" s="18"/>
      <c r="E7" s="19"/>
    </row>
    <row r="8" spans="1:5" ht="15.6" x14ac:dyDescent="0.3">
      <c r="A8" s="12" t="s">
        <v>285</v>
      </c>
      <c r="B8" s="12"/>
      <c r="C8" s="12"/>
      <c r="D8" s="12"/>
      <c r="E8" s="12"/>
    </row>
    <row r="9" spans="1:5" ht="15" x14ac:dyDescent="0.3">
      <c r="A9" s="11" t="s">
        <v>278</v>
      </c>
      <c r="B9" s="11" t="s">
        <v>274</v>
      </c>
      <c r="C9" s="11" t="s">
        <v>277</v>
      </c>
      <c r="D9" s="11" t="s">
        <v>275</v>
      </c>
      <c r="E9" s="11" t="s">
        <v>276</v>
      </c>
    </row>
    <row r="10" spans="1:5" ht="15" x14ac:dyDescent="0.3">
      <c r="A10" s="1" t="s">
        <v>1</v>
      </c>
      <c r="B10" s="7">
        <v>266</v>
      </c>
      <c r="C10" s="8">
        <v>0.70557029177718833</v>
      </c>
      <c r="D10" s="9">
        <v>223</v>
      </c>
      <c r="E10" s="10">
        <v>0.65014577259475215</v>
      </c>
    </row>
    <row r="11" spans="1:5" ht="15" x14ac:dyDescent="0.3">
      <c r="A11" s="1" t="s">
        <v>2</v>
      </c>
      <c r="B11" s="7">
        <v>69</v>
      </c>
      <c r="C11" s="8">
        <v>0.1830238726790451</v>
      </c>
      <c r="D11" s="9">
        <v>68</v>
      </c>
      <c r="E11" s="10">
        <v>0.19825072886297376</v>
      </c>
    </row>
    <row r="12" spans="1:5" ht="15" x14ac:dyDescent="0.3">
      <c r="A12" s="21" t="s">
        <v>3</v>
      </c>
      <c r="B12" s="22">
        <v>42</v>
      </c>
      <c r="C12" s="23">
        <v>0.11140583554376658</v>
      </c>
      <c r="D12" s="24">
        <v>52</v>
      </c>
      <c r="E12" s="25">
        <v>0.15160349854227406</v>
      </c>
    </row>
    <row r="13" spans="1:5" ht="15.6" x14ac:dyDescent="0.3">
      <c r="A13" s="31" t="s">
        <v>4</v>
      </c>
      <c r="B13" s="35">
        <f>SUBTOTAL(109,Table4[Pre Count])</f>
        <v>377</v>
      </c>
      <c r="C13" s="36">
        <f>SUBTOTAL(109,Table4[Pre Count %])</f>
        <v>1</v>
      </c>
      <c r="D13" s="37">
        <f>SUBTOTAL(109,Table4[Post Count])</f>
        <v>343</v>
      </c>
      <c r="E13" s="34">
        <f>SUBTOTAL(109,Table4[Post Count %])</f>
        <v>1</v>
      </c>
    </row>
    <row r="14" spans="1:5" ht="15" x14ac:dyDescent="0.3">
      <c r="A14" s="15"/>
      <c r="B14" s="7"/>
      <c r="C14" s="8"/>
      <c r="D14" s="9"/>
      <c r="E14" s="10"/>
    </row>
    <row r="15" spans="1:5" ht="15" customHeight="1" x14ac:dyDescent="0.3">
      <c r="A15" s="12" t="s">
        <v>286</v>
      </c>
      <c r="B15" s="12"/>
      <c r="C15" s="12"/>
      <c r="D15" s="12"/>
      <c r="E15" s="12"/>
    </row>
    <row r="16" spans="1:5" ht="15.6" x14ac:dyDescent="0.3">
      <c r="A16" s="11" t="s">
        <v>278</v>
      </c>
      <c r="B16" s="11" t="s">
        <v>274</v>
      </c>
      <c r="C16" s="11" t="s">
        <v>277</v>
      </c>
      <c r="D16" s="11" t="s">
        <v>275</v>
      </c>
      <c r="E16" s="11" t="s">
        <v>276</v>
      </c>
    </row>
    <row r="17" spans="1:5" ht="15" x14ac:dyDescent="0.3">
      <c r="A17" s="1" t="s">
        <v>1</v>
      </c>
      <c r="B17" s="7">
        <v>156</v>
      </c>
      <c r="C17" s="8">
        <v>0.41379310344827586</v>
      </c>
      <c r="D17" s="9">
        <v>134</v>
      </c>
      <c r="E17" s="10">
        <v>0.39067055393586003</v>
      </c>
    </row>
    <row r="18" spans="1:5" ht="15" x14ac:dyDescent="0.3">
      <c r="A18" s="1" t="s">
        <v>2</v>
      </c>
      <c r="B18" s="7">
        <v>166</v>
      </c>
      <c r="C18" s="8">
        <v>0.44031830238726788</v>
      </c>
      <c r="D18" s="9">
        <v>151</v>
      </c>
      <c r="E18" s="10">
        <v>0.44023323615160348</v>
      </c>
    </row>
    <row r="19" spans="1:5" ht="15" x14ac:dyDescent="0.3">
      <c r="A19" s="21" t="s">
        <v>3</v>
      </c>
      <c r="B19" s="22">
        <v>55</v>
      </c>
      <c r="C19" s="23">
        <v>0.14588859416445624</v>
      </c>
      <c r="D19" s="24">
        <v>58</v>
      </c>
      <c r="E19" s="25">
        <v>0.16909620991253643</v>
      </c>
    </row>
    <row r="20" spans="1:5" ht="15.6" x14ac:dyDescent="0.3">
      <c r="A20" s="31" t="s">
        <v>4</v>
      </c>
      <c r="B20" s="35">
        <f>SUBTOTAL(109,Table5[Pre Count])</f>
        <v>377</v>
      </c>
      <c r="C20" s="36">
        <f>SUBTOTAL(109,Table5[Pre Count %])</f>
        <v>0.99999999999999989</v>
      </c>
      <c r="D20" s="37">
        <f>SUBTOTAL(109,Table5[Post Count])</f>
        <v>343</v>
      </c>
      <c r="E20" s="34">
        <f>SUBTOTAL(109,Table5[Post Count %])</f>
        <v>1</v>
      </c>
    </row>
    <row r="21" spans="1:5" ht="15" x14ac:dyDescent="0.3">
      <c r="A21" s="15"/>
      <c r="B21" s="7"/>
      <c r="C21" s="8"/>
      <c r="D21" s="9"/>
      <c r="E21" s="10"/>
    </row>
    <row r="22" spans="1:5" ht="15.6" x14ac:dyDescent="0.3">
      <c r="A22" s="12" t="s">
        <v>287</v>
      </c>
      <c r="B22" s="12"/>
      <c r="C22" s="12"/>
      <c r="D22" s="12"/>
      <c r="E22" s="12"/>
    </row>
    <row r="23" spans="1:5" ht="15.6" x14ac:dyDescent="0.3">
      <c r="A23" s="11" t="s">
        <v>278</v>
      </c>
      <c r="B23" s="11" t="s">
        <v>274</v>
      </c>
      <c r="C23" s="11" t="s">
        <v>277</v>
      </c>
      <c r="D23" s="11" t="s">
        <v>275</v>
      </c>
      <c r="E23" s="11" t="s">
        <v>276</v>
      </c>
    </row>
    <row r="24" spans="1:5" ht="15" x14ac:dyDescent="0.3">
      <c r="A24" s="1" t="s">
        <v>1</v>
      </c>
      <c r="B24" s="7">
        <v>331</v>
      </c>
      <c r="C24" s="8">
        <v>0.87798408488063662</v>
      </c>
      <c r="D24" s="9">
        <v>274</v>
      </c>
      <c r="E24" s="10">
        <v>0.79883381924198249</v>
      </c>
    </row>
    <row r="25" spans="1:5" ht="15" x14ac:dyDescent="0.3">
      <c r="A25" s="1" t="s">
        <v>2</v>
      </c>
      <c r="B25" s="7">
        <v>30</v>
      </c>
      <c r="C25" s="8">
        <v>7.9575596816976124E-2</v>
      </c>
      <c r="D25" s="9">
        <v>34</v>
      </c>
      <c r="E25" s="10">
        <v>9.9125364431486881E-2</v>
      </c>
    </row>
    <row r="26" spans="1:5" ht="15" x14ac:dyDescent="0.3">
      <c r="A26" s="21" t="s">
        <v>3</v>
      </c>
      <c r="B26" s="22">
        <v>16</v>
      </c>
      <c r="C26" s="23">
        <v>4.2440318302387266E-2</v>
      </c>
      <c r="D26" s="24">
        <v>35</v>
      </c>
      <c r="E26" s="25">
        <v>0.10204081632653061</v>
      </c>
    </row>
    <row r="27" spans="1:5" ht="15.6" x14ac:dyDescent="0.3">
      <c r="A27" s="31" t="s">
        <v>4</v>
      </c>
      <c r="B27" s="35">
        <f>SUBTOTAL(109,Table6[Pre Count])</f>
        <v>377</v>
      </c>
      <c r="C27" s="36">
        <f>SUBTOTAL(109,Table6[Pre Count %])</f>
        <v>1</v>
      </c>
      <c r="D27" s="37">
        <f>SUBTOTAL(109,Table6[Post Count])</f>
        <v>343</v>
      </c>
      <c r="E27" s="34">
        <f>SUBTOTAL(109,Table6[Post Count %])</f>
        <v>1</v>
      </c>
    </row>
    <row r="28" spans="1:5" ht="15" x14ac:dyDescent="0.3">
      <c r="A28" s="15"/>
      <c r="B28" s="7"/>
      <c r="C28" s="8"/>
      <c r="D28" s="9"/>
      <c r="E28" s="10"/>
    </row>
    <row r="29" spans="1:5" ht="15.6" x14ac:dyDescent="0.3">
      <c r="A29" s="12" t="s">
        <v>288</v>
      </c>
      <c r="B29" s="12"/>
      <c r="C29" s="12"/>
      <c r="D29" s="12"/>
      <c r="E29" s="12"/>
    </row>
    <row r="30" spans="1:5" ht="15.6" x14ac:dyDescent="0.3">
      <c r="A30" s="11" t="s">
        <v>278</v>
      </c>
      <c r="B30" s="11" t="s">
        <v>274</v>
      </c>
      <c r="C30" s="11" t="s">
        <v>277</v>
      </c>
      <c r="D30" s="11" t="s">
        <v>275</v>
      </c>
      <c r="E30" s="11" t="s">
        <v>276</v>
      </c>
    </row>
    <row r="31" spans="1:5" ht="15" x14ac:dyDescent="0.3">
      <c r="A31" s="1" t="s">
        <v>1</v>
      </c>
      <c r="B31" s="7">
        <v>293</v>
      </c>
      <c r="C31" s="8">
        <v>0.77718832891246681</v>
      </c>
      <c r="D31" s="9">
        <v>272</v>
      </c>
      <c r="E31" s="10">
        <v>0.79300291545189505</v>
      </c>
    </row>
    <row r="32" spans="1:5" ht="15" x14ac:dyDescent="0.3">
      <c r="A32" s="1" t="s">
        <v>2</v>
      </c>
      <c r="B32" s="7">
        <v>16</v>
      </c>
      <c r="C32" s="8">
        <v>4.2440318302387266E-2</v>
      </c>
      <c r="D32" s="9">
        <v>17</v>
      </c>
      <c r="E32" s="10">
        <v>4.9562682215743441E-2</v>
      </c>
    </row>
    <row r="33" spans="1:5" ht="15" x14ac:dyDescent="0.3">
      <c r="A33" s="21" t="s">
        <v>3</v>
      </c>
      <c r="B33" s="22">
        <v>68</v>
      </c>
      <c r="C33" s="23">
        <v>0.18037135278514588</v>
      </c>
      <c r="D33" s="24">
        <v>54</v>
      </c>
      <c r="E33" s="25">
        <v>0.15743440233236153</v>
      </c>
    </row>
    <row r="34" spans="1:5" ht="15.6" x14ac:dyDescent="0.3">
      <c r="A34" s="31" t="s">
        <v>4</v>
      </c>
      <c r="B34" s="35">
        <f>SUBTOTAL(109,Table7[Pre Count])</f>
        <v>377</v>
      </c>
      <c r="C34" s="36">
        <f>SUBTOTAL(109,Table7[Pre Count %])</f>
        <v>1</v>
      </c>
      <c r="D34" s="37">
        <f>SUBTOTAL(109,Table7[Post Count])</f>
        <v>343</v>
      </c>
      <c r="E34" s="34">
        <f>SUBTOTAL(109,Table7[Post Count %])</f>
        <v>1</v>
      </c>
    </row>
    <row r="35" spans="1:5" ht="15" x14ac:dyDescent="0.3">
      <c r="A35" s="15"/>
      <c r="B35" s="7"/>
      <c r="C35" s="8"/>
      <c r="D35" s="9"/>
      <c r="E35" s="10"/>
    </row>
    <row r="36" spans="1:5" ht="15.6" x14ac:dyDescent="0.3">
      <c r="A36" s="12" t="s">
        <v>289</v>
      </c>
      <c r="B36" s="12"/>
      <c r="C36" s="12"/>
      <c r="D36" s="12"/>
      <c r="E36" s="12"/>
    </row>
    <row r="37" spans="1:5" ht="15.6" x14ac:dyDescent="0.3">
      <c r="A37" s="11" t="s">
        <v>278</v>
      </c>
      <c r="B37" s="11" t="s">
        <v>274</v>
      </c>
      <c r="C37" s="11" t="s">
        <v>277</v>
      </c>
      <c r="D37" s="11" t="s">
        <v>275</v>
      </c>
      <c r="E37" s="11" t="s">
        <v>276</v>
      </c>
    </row>
    <row r="38" spans="1:5" ht="15" x14ac:dyDescent="0.3">
      <c r="A38" s="1" t="s">
        <v>1</v>
      </c>
      <c r="B38" s="7">
        <v>348</v>
      </c>
      <c r="C38" s="8">
        <v>0.92307692307692302</v>
      </c>
      <c r="D38" s="9">
        <v>320</v>
      </c>
      <c r="E38" s="10">
        <v>0.93294460641399413</v>
      </c>
    </row>
    <row r="39" spans="1:5" ht="15" x14ac:dyDescent="0.3">
      <c r="A39" s="1" t="s">
        <v>2</v>
      </c>
      <c r="B39" s="7">
        <v>9</v>
      </c>
      <c r="C39" s="8">
        <v>2.3872679045092837E-2</v>
      </c>
      <c r="D39" s="9">
        <v>15</v>
      </c>
      <c r="E39" s="10">
        <v>4.3731778425655982E-2</v>
      </c>
    </row>
    <row r="40" spans="1:5" ht="15" x14ac:dyDescent="0.3">
      <c r="A40" s="21" t="s">
        <v>3</v>
      </c>
      <c r="B40" s="22">
        <v>20</v>
      </c>
      <c r="C40" s="23">
        <v>5.3050397877984087E-2</v>
      </c>
      <c r="D40" s="24">
        <v>8</v>
      </c>
      <c r="E40" s="25">
        <v>2.3323615160349854E-2</v>
      </c>
    </row>
    <row r="41" spans="1:5" ht="15.6" x14ac:dyDescent="0.3">
      <c r="A41" s="31" t="s">
        <v>4</v>
      </c>
      <c r="B41" s="35">
        <f>SUBTOTAL(109,Table8[Pre Count])</f>
        <v>377</v>
      </c>
      <c r="C41" s="36">
        <f>SUBTOTAL(109,Table8[Pre Count %])</f>
        <v>0.99999999999999989</v>
      </c>
      <c r="D41" s="37">
        <f>SUBTOTAL(109,Table8[Post Count])</f>
        <v>343</v>
      </c>
      <c r="E41" s="34">
        <f>SUBTOTAL(109,Table8[Post Count %])</f>
        <v>1</v>
      </c>
    </row>
    <row r="42" spans="1:5" ht="15" x14ac:dyDescent="0.3">
      <c r="A42" s="15"/>
      <c r="B42" s="7"/>
      <c r="C42" s="8"/>
      <c r="D42" s="9"/>
      <c r="E42" s="10"/>
    </row>
    <row r="43" spans="1:5" ht="15.6" x14ac:dyDescent="0.3">
      <c r="A43" s="12" t="s">
        <v>290</v>
      </c>
      <c r="B43" s="12"/>
      <c r="C43" s="12"/>
      <c r="D43" s="12"/>
      <c r="E43" s="12"/>
    </row>
    <row r="44" spans="1:5" ht="15.6" x14ac:dyDescent="0.3">
      <c r="A44" s="11" t="s">
        <v>278</v>
      </c>
      <c r="B44" s="11" t="s">
        <v>274</v>
      </c>
      <c r="C44" s="11" t="s">
        <v>277</v>
      </c>
      <c r="D44" s="11" t="s">
        <v>275</v>
      </c>
      <c r="E44" s="11" t="s">
        <v>276</v>
      </c>
    </row>
    <row r="45" spans="1:5" ht="15" x14ac:dyDescent="0.3">
      <c r="A45" s="1" t="s">
        <v>1</v>
      </c>
      <c r="B45" s="7">
        <v>181</v>
      </c>
      <c r="C45" s="8">
        <v>0.48010610079575594</v>
      </c>
      <c r="D45" s="9">
        <v>153</v>
      </c>
      <c r="E45" s="10">
        <v>0.44606413994169097</v>
      </c>
    </row>
    <row r="46" spans="1:5" ht="15" x14ac:dyDescent="0.3">
      <c r="A46" s="1" t="s">
        <v>2</v>
      </c>
      <c r="B46" s="7">
        <v>120</v>
      </c>
      <c r="C46" s="8">
        <v>0.3183023872679045</v>
      </c>
      <c r="D46" s="9">
        <v>116</v>
      </c>
      <c r="E46" s="10">
        <v>0.33819241982507287</v>
      </c>
    </row>
    <row r="47" spans="1:5" ht="15" x14ac:dyDescent="0.3">
      <c r="A47" s="21" t="s">
        <v>3</v>
      </c>
      <c r="B47" s="22">
        <v>76</v>
      </c>
      <c r="C47" s="23">
        <v>0.20159151193633953</v>
      </c>
      <c r="D47" s="24">
        <v>74</v>
      </c>
      <c r="E47" s="25">
        <v>0.21574344023323616</v>
      </c>
    </row>
    <row r="48" spans="1:5" ht="15.6" x14ac:dyDescent="0.3">
      <c r="A48" s="31" t="s">
        <v>4</v>
      </c>
      <c r="B48" s="35">
        <f>SUBTOTAL(109,Table9[Pre Count])</f>
        <v>377</v>
      </c>
      <c r="C48" s="36">
        <f>SUBTOTAL(109,Table9[Pre Count %])</f>
        <v>0.99999999999999989</v>
      </c>
      <c r="D48" s="37">
        <f>SUBTOTAL(109,Table9[Post Count])</f>
        <v>343</v>
      </c>
      <c r="E48" s="34">
        <f>SUBTOTAL(109,Table9[Post Count %])</f>
        <v>1</v>
      </c>
    </row>
    <row r="49" spans="1:5" ht="15" x14ac:dyDescent="0.3">
      <c r="A49" s="15"/>
      <c r="B49" s="7"/>
      <c r="C49" s="8"/>
      <c r="D49" s="9"/>
      <c r="E49" s="10"/>
    </row>
    <row r="50" spans="1:5" ht="15.6" x14ac:dyDescent="0.3">
      <c r="A50" s="12" t="s">
        <v>291</v>
      </c>
      <c r="B50" s="12"/>
      <c r="C50" s="12"/>
      <c r="D50" s="12"/>
      <c r="E50" s="12"/>
    </row>
    <row r="51" spans="1:5" ht="15.6" x14ac:dyDescent="0.3">
      <c r="A51" s="11" t="s">
        <v>278</v>
      </c>
      <c r="B51" s="11" t="s">
        <v>274</v>
      </c>
      <c r="C51" s="11" t="s">
        <v>277</v>
      </c>
      <c r="D51" s="11" t="s">
        <v>275</v>
      </c>
      <c r="E51" s="11" t="s">
        <v>276</v>
      </c>
    </row>
    <row r="52" spans="1:5" ht="15" x14ac:dyDescent="0.3">
      <c r="A52" s="1" t="s">
        <v>1</v>
      </c>
      <c r="B52" s="7">
        <v>123</v>
      </c>
      <c r="C52" s="8">
        <v>0.32625994694960214</v>
      </c>
      <c r="D52" s="9">
        <v>42</v>
      </c>
      <c r="E52" s="10">
        <v>0.12244897959183673</v>
      </c>
    </row>
    <row r="53" spans="1:5" ht="15" x14ac:dyDescent="0.3">
      <c r="A53" s="1" t="s">
        <v>2</v>
      </c>
      <c r="B53" s="7">
        <v>177</v>
      </c>
      <c r="C53" s="8">
        <v>0.46949602122015915</v>
      </c>
      <c r="D53" s="9">
        <v>154</v>
      </c>
      <c r="E53" s="10">
        <v>0.44897959183673469</v>
      </c>
    </row>
    <row r="54" spans="1:5" ht="15" x14ac:dyDescent="0.3">
      <c r="A54" s="21" t="s">
        <v>3</v>
      </c>
      <c r="B54" s="22">
        <v>77</v>
      </c>
      <c r="C54" s="23">
        <v>0.20424403183023873</v>
      </c>
      <c r="D54" s="24">
        <v>147</v>
      </c>
      <c r="E54" s="25">
        <v>0.42857142857142855</v>
      </c>
    </row>
    <row r="55" spans="1:5" ht="15.6" x14ac:dyDescent="0.3">
      <c r="A55" s="31" t="s">
        <v>4</v>
      </c>
      <c r="B55" s="35">
        <f>SUBTOTAL(109,Table10[Pre Count])</f>
        <v>377</v>
      </c>
      <c r="C55" s="36">
        <f>SUBTOTAL(109,Table10[Pre Count %])</f>
        <v>1</v>
      </c>
      <c r="D55" s="37">
        <f>SUBTOTAL(109,Table10[Post Count])</f>
        <v>343</v>
      </c>
      <c r="E55" s="34">
        <f>SUBTOTAL(109,Table10[Post Count %])</f>
        <v>1</v>
      </c>
    </row>
    <row r="56" spans="1:5" ht="15" x14ac:dyDescent="0.3">
      <c r="A56" s="15"/>
      <c r="B56" s="7"/>
      <c r="C56" s="8"/>
      <c r="D56" s="9"/>
      <c r="E56" s="10"/>
    </row>
    <row r="57" spans="1:5" ht="15.6" x14ac:dyDescent="0.3">
      <c r="A57" s="12" t="s">
        <v>292</v>
      </c>
      <c r="B57" s="12"/>
      <c r="C57" s="12"/>
      <c r="D57" s="12"/>
      <c r="E57" s="12"/>
    </row>
    <row r="58" spans="1:5" ht="15.6" x14ac:dyDescent="0.3">
      <c r="A58" s="11" t="s">
        <v>278</v>
      </c>
      <c r="B58" s="11" t="s">
        <v>274</v>
      </c>
      <c r="C58" s="11" t="s">
        <v>277</v>
      </c>
      <c r="D58" s="11" t="s">
        <v>275</v>
      </c>
      <c r="E58" s="11" t="s">
        <v>276</v>
      </c>
    </row>
    <row r="59" spans="1:5" ht="15" x14ac:dyDescent="0.3">
      <c r="A59" s="1" t="s">
        <v>1</v>
      </c>
      <c r="B59" s="7">
        <v>364</v>
      </c>
      <c r="C59" s="8">
        <v>0.96551724137931028</v>
      </c>
      <c r="D59" s="9">
        <v>331</v>
      </c>
      <c r="E59" s="10">
        <v>0.96501457725947537</v>
      </c>
    </row>
    <row r="60" spans="1:5" ht="15" x14ac:dyDescent="0.3">
      <c r="A60" s="1" t="s">
        <v>2</v>
      </c>
      <c r="B60" s="7">
        <v>7</v>
      </c>
      <c r="C60" s="8">
        <v>1.8567639257294429E-2</v>
      </c>
      <c r="D60" s="9">
        <v>9</v>
      </c>
      <c r="E60" s="10">
        <v>2.6239067055393587E-2</v>
      </c>
    </row>
    <row r="61" spans="1:5" ht="15" x14ac:dyDescent="0.3">
      <c r="A61" s="21" t="s">
        <v>3</v>
      </c>
      <c r="B61" s="22">
        <v>6</v>
      </c>
      <c r="C61" s="23">
        <v>1.5915119363395226E-2</v>
      </c>
      <c r="D61" s="24">
        <v>3</v>
      </c>
      <c r="E61" s="25">
        <v>8.7463556851311956E-3</v>
      </c>
    </row>
    <row r="62" spans="1:5" ht="15.6" x14ac:dyDescent="0.3">
      <c r="A62" s="31" t="s">
        <v>4</v>
      </c>
      <c r="B62" s="35">
        <f>SUBTOTAL(109,Table11[Pre Count])</f>
        <v>377</v>
      </c>
      <c r="C62" s="36">
        <f>SUBTOTAL(109,Table11[Pre Count %])</f>
        <v>0.99999999999999989</v>
      </c>
      <c r="D62" s="37">
        <f>SUBTOTAL(109,Table11[Post Count])</f>
        <v>343</v>
      </c>
      <c r="E62" s="34">
        <f>SUBTOTAL(109,Table11[Post Count %])</f>
        <v>1.0000000000000002</v>
      </c>
    </row>
    <row r="63" spans="1:5" ht="15" x14ac:dyDescent="0.3">
      <c r="A63" s="15"/>
      <c r="B63" s="7"/>
      <c r="C63" s="8"/>
      <c r="D63" s="9"/>
      <c r="E63" s="10"/>
    </row>
    <row r="64" spans="1:5" ht="15.6" x14ac:dyDescent="0.3">
      <c r="A64" s="12" t="s">
        <v>293</v>
      </c>
      <c r="B64" s="12"/>
      <c r="C64" s="12"/>
      <c r="D64" s="12"/>
      <c r="E64" s="12"/>
    </row>
    <row r="65" spans="1:5" ht="15.6" x14ac:dyDescent="0.3">
      <c r="A65" s="11" t="s">
        <v>278</v>
      </c>
      <c r="B65" s="11" t="s">
        <v>274</v>
      </c>
      <c r="C65" s="11" t="s">
        <v>277</v>
      </c>
      <c r="D65" s="11" t="s">
        <v>275</v>
      </c>
      <c r="E65" s="11" t="s">
        <v>276</v>
      </c>
    </row>
    <row r="66" spans="1:5" ht="15" x14ac:dyDescent="0.3">
      <c r="A66" s="1" t="s">
        <v>1</v>
      </c>
      <c r="B66" s="7">
        <v>301</v>
      </c>
      <c r="C66" s="8">
        <v>0.79840848806366049</v>
      </c>
      <c r="D66" s="9">
        <v>297</v>
      </c>
      <c r="E66" s="10">
        <v>0.86588921282798836</v>
      </c>
    </row>
    <row r="67" spans="1:5" ht="15" x14ac:dyDescent="0.3">
      <c r="A67" s="1" t="s">
        <v>2</v>
      </c>
      <c r="B67" s="7">
        <v>66</v>
      </c>
      <c r="C67" s="8">
        <v>0.17506631299734748</v>
      </c>
      <c r="D67" s="9">
        <v>35</v>
      </c>
      <c r="E67" s="10">
        <v>0.10204081632653061</v>
      </c>
    </row>
    <row r="68" spans="1:5" ht="15" x14ac:dyDescent="0.3">
      <c r="A68" s="21" t="s">
        <v>3</v>
      </c>
      <c r="B68" s="22">
        <v>10</v>
      </c>
      <c r="C68" s="23">
        <v>2.6525198938992044E-2</v>
      </c>
      <c r="D68" s="24">
        <v>11</v>
      </c>
      <c r="E68" s="25">
        <v>3.2069970845481049E-2</v>
      </c>
    </row>
    <row r="69" spans="1:5" ht="15.6" x14ac:dyDescent="0.3">
      <c r="A69" s="31" t="s">
        <v>4</v>
      </c>
      <c r="B69" s="35">
        <f>SUBTOTAL(109,Table12[Pre Count])</f>
        <v>377</v>
      </c>
      <c r="C69" s="36">
        <f>SUBTOTAL(109,Table12[Pre Count %])</f>
        <v>1</v>
      </c>
      <c r="D69" s="37">
        <f>SUBTOTAL(109,Table12[Post Count])</f>
        <v>343</v>
      </c>
      <c r="E69" s="34">
        <f>SUBTOTAL(109,Table12[Post Count %])</f>
        <v>1</v>
      </c>
    </row>
    <row r="70" spans="1:5" ht="15" x14ac:dyDescent="0.3">
      <c r="A70" s="15"/>
      <c r="B70" s="7"/>
      <c r="C70" s="8"/>
      <c r="D70" s="9"/>
      <c r="E70" s="10"/>
    </row>
    <row r="71" spans="1:5" ht="15.6" x14ac:dyDescent="0.3">
      <c r="A71" s="12" t="s">
        <v>294</v>
      </c>
      <c r="B71" s="12"/>
      <c r="C71" s="12"/>
      <c r="D71" s="12"/>
      <c r="E71" s="12"/>
    </row>
    <row r="72" spans="1:5" ht="15.6" x14ac:dyDescent="0.3">
      <c r="A72" s="11" t="s">
        <v>278</v>
      </c>
      <c r="B72" s="11" t="s">
        <v>274</v>
      </c>
      <c r="C72" s="11" t="s">
        <v>277</v>
      </c>
      <c r="D72" s="11" t="s">
        <v>275</v>
      </c>
      <c r="E72" s="11" t="s">
        <v>276</v>
      </c>
    </row>
    <row r="73" spans="1:5" ht="15" x14ac:dyDescent="0.3">
      <c r="A73" s="1" t="s">
        <v>1</v>
      </c>
      <c r="B73" s="7">
        <v>333</v>
      </c>
      <c r="C73" s="8">
        <v>0.88328912466843501</v>
      </c>
      <c r="D73" s="9">
        <v>319</v>
      </c>
      <c r="E73" s="10">
        <v>0.9300291545189503</v>
      </c>
    </row>
    <row r="74" spans="1:5" ht="15" x14ac:dyDescent="0.3">
      <c r="A74" s="1" t="s">
        <v>2</v>
      </c>
      <c r="B74" s="7">
        <v>37</v>
      </c>
      <c r="C74" s="8">
        <v>9.8143236074270557E-2</v>
      </c>
      <c r="D74" s="9">
        <v>21</v>
      </c>
      <c r="E74" s="10">
        <v>6.1224489795918366E-2</v>
      </c>
    </row>
    <row r="75" spans="1:5" ht="15" x14ac:dyDescent="0.3">
      <c r="A75" s="21" t="s">
        <v>3</v>
      </c>
      <c r="B75" s="22">
        <v>7</v>
      </c>
      <c r="C75" s="23">
        <v>1.8567639257294429E-2</v>
      </c>
      <c r="D75" s="24">
        <v>3</v>
      </c>
      <c r="E75" s="25">
        <v>8.7463556851311956E-3</v>
      </c>
    </row>
    <row r="76" spans="1:5" ht="15.6" x14ac:dyDescent="0.3">
      <c r="A76" s="31" t="s">
        <v>4</v>
      </c>
      <c r="B76" s="35">
        <f>SUBTOTAL(109,Table13[Pre Count])</f>
        <v>377</v>
      </c>
      <c r="C76" s="36">
        <f>SUBTOTAL(109,Table13[Pre Count %])</f>
        <v>1</v>
      </c>
      <c r="D76" s="37">
        <f>SUBTOTAL(109,Table13[Post Count])</f>
        <v>343</v>
      </c>
      <c r="E76" s="34">
        <f>SUBTOTAL(109,Table13[Post Count %])</f>
        <v>0.99999999999999978</v>
      </c>
    </row>
    <row r="77" spans="1:5" ht="15" x14ac:dyDescent="0.3">
      <c r="A77" s="15"/>
      <c r="B77" s="7"/>
      <c r="C77" s="8"/>
      <c r="D77" s="9"/>
      <c r="E77" s="10"/>
    </row>
    <row r="78" spans="1:5" ht="15.6" x14ac:dyDescent="0.3">
      <c r="A78" s="12" t="s">
        <v>295</v>
      </c>
      <c r="B78" s="12"/>
      <c r="C78" s="12"/>
      <c r="D78" s="12"/>
      <c r="E78" s="12"/>
    </row>
    <row r="79" spans="1:5" ht="15.6" x14ac:dyDescent="0.3">
      <c r="A79" s="11" t="s">
        <v>278</v>
      </c>
      <c r="B79" s="11" t="s">
        <v>274</v>
      </c>
      <c r="C79" s="11" t="s">
        <v>277</v>
      </c>
      <c r="D79" s="11" t="s">
        <v>275</v>
      </c>
      <c r="E79" s="11" t="s">
        <v>276</v>
      </c>
    </row>
    <row r="80" spans="1:5" ht="15.6" x14ac:dyDescent="0.3">
      <c r="A80" s="1" t="s">
        <v>1</v>
      </c>
      <c r="B80" s="7">
        <v>309</v>
      </c>
      <c r="C80" s="8">
        <v>0.81962864721485407</v>
      </c>
      <c r="D80" s="9">
        <v>277</v>
      </c>
      <c r="E80" s="10">
        <v>0.80758017492711365</v>
      </c>
    </row>
    <row r="81" spans="1:5" ht="15.6" x14ac:dyDescent="0.3">
      <c r="A81" s="1" t="s">
        <v>2</v>
      </c>
      <c r="B81" s="7">
        <v>55</v>
      </c>
      <c r="C81" s="8">
        <v>0.14588859416445624</v>
      </c>
      <c r="D81" s="9">
        <v>53</v>
      </c>
      <c r="E81" s="10">
        <v>0.15451895043731778</v>
      </c>
    </row>
    <row r="82" spans="1:5" ht="15.6" x14ac:dyDescent="0.3">
      <c r="A82" s="21" t="s">
        <v>3</v>
      </c>
      <c r="B82" s="22">
        <v>13</v>
      </c>
      <c r="C82" s="23">
        <v>3.4482758620689655E-2</v>
      </c>
      <c r="D82" s="24">
        <v>13</v>
      </c>
      <c r="E82" s="25">
        <v>3.7900874635568516E-2</v>
      </c>
    </row>
    <row r="83" spans="1:5" ht="15.6" x14ac:dyDescent="0.3">
      <c r="A83" s="31" t="s">
        <v>4</v>
      </c>
      <c r="B83" s="35">
        <f>SUBTOTAL(109,Table14[Pre Count])</f>
        <v>377</v>
      </c>
      <c r="C83" s="36">
        <f>SUBTOTAL(109,Table14[Pre Count %])</f>
        <v>0.99999999999999989</v>
      </c>
      <c r="D83" s="37">
        <f>SUBTOTAL(109,Table14[Post Count])</f>
        <v>343</v>
      </c>
      <c r="E83" s="34">
        <f>SUBTOTAL(109,Table14[Post Count %])</f>
        <v>1</v>
      </c>
    </row>
    <row r="84" spans="1:5" ht="15" x14ac:dyDescent="0.3">
      <c r="A84" s="15"/>
      <c r="B84" s="7"/>
      <c r="C84" s="8"/>
      <c r="D84" s="9"/>
      <c r="E84" s="10"/>
    </row>
    <row r="85" spans="1:5" ht="15" x14ac:dyDescent="0.3">
      <c r="A85" s="45" t="s">
        <v>296</v>
      </c>
      <c r="B85" s="45"/>
      <c r="C85" s="45"/>
      <c r="D85" s="45"/>
      <c r="E85" s="45"/>
    </row>
    <row r="86" spans="1:5" ht="15.6" x14ac:dyDescent="0.3">
      <c r="A86" s="11" t="s">
        <v>278</v>
      </c>
      <c r="B86" s="11" t="s">
        <v>274</v>
      </c>
      <c r="C86" s="11" t="s">
        <v>277</v>
      </c>
      <c r="D86" s="11" t="s">
        <v>275</v>
      </c>
      <c r="E86" s="11" t="s">
        <v>276</v>
      </c>
    </row>
    <row r="87" spans="1:5" ht="15.6" x14ac:dyDescent="0.3">
      <c r="A87" s="1" t="s">
        <v>5</v>
      </c>
      <c r="B87" s="7">
        <v>4</v>
      </c>
      <c r="C87" s="8">
        <v>1.0610079575596816E-2</v>
      </c>
      <c r="D87" s="9">
        <v>4</v>
      </c>
      <c r="E87" s="10">
        <v>1.1661807580174927E-2</v>
      </c>
    </row>
    <row r="88" spans="1:5" ht="15.6" x14ac:dyDescent="0.3">
      <c r="A88" s="1" t="s">
        <v>6</v>
      </c>
      <c r="B88" s="7">
        <v>52</v>
      </c>
      <c r="C88" s="8">
        <v>0.13793103448275862</v>
      </c>
      <c r="D88" s="9">
        <v>18</v>
      </c>
      <c r="E88" s="10">
        <v>5.2478134110787174E-2</v>
      </c>
    </row>
    <row r="89" spans="1:5" ht="15.6" x14ac:dyDescent="0.3">
      <c r="A89" s="1" t="s">
        <v>7</v>
      </c>
      <c r="B89" s="7">
        <v>213</v>
      </c>
      <c r="C89" s="8">
        <v>0.56498673740053051</v>
      </c>
      <c r="D89" s="9">
        <v>145</v>
      </c>
      <c r="E89" s="10">
        <v>0.42274052478134111</v>
      </c>
    </row>
    <row r="90" spans="1:5" ht="15.6" x14ac:dyDescent="0.3">
      <c r="A90" s="21" t="s">
        <v>8</v>
      </c>
      <c r="B90" s="22">
        <v>108</v>
      </c>
      <c r="C90" s="23">
        <v>0.28647214854111408</v>
      </c>
      <c r="D90" s="24">
        <v>176</v>
      </c>
      <c r="E90" s="25">
        <v>0.51311953352769679</v>
      </c>
    </row>
    <row r="91" spans="1:5" ht="15.6" x14ac:dyDescent="0.3">
      <c r="A91" s="31" t="s">
        <v>4</v>
      </c>
      <c r="B91" s="35">
        <f>SUBTOTAL(109,Table15[Pre Count])</f>
        <v>377</v>
      </c>
      <c r="C91" s="36">
        <f>SUBTOTAL(109,Table15[Pre Count %])</f>
        <v>1</v>
      </c>
      <c r="D91" s="37">
        <f>SUBTOTAL(109,Table15[Post Count])</f>
        <v>343</v>
      </c>
      <c r="E91" s="34">
        <f>SUBTOTAL(109,Table15[Post Count %])</f>
        <v>1</v>
      </c>
    </row>
    <row r="92" spans="1:5" ht="15" x14ac:dyDescent="0.3">
      <c r="A92" s="15"/>
      <c r="B92" s="7"/>
      <c r="C92" s="8"/>
      <c r="D92" s="9"/>
      <c r="E92" s="10"/>
    </row>
    <row r="93" spans="1:5" ht="15" x14ac:dyDescent="0.3">
      <c r="A93" s="45" t="s">
        <v>297</v>
      </c>
      <c r="B93" s="45"/>
      <c r="C93" s="45"/>
      <c r="D93" s="45"/>
      <c r="E93" s="45"/>
    </row>
    <row r="94" spans="1:5" ht="15.6" x14ac:dyDescent="0.3">
      <c r="A94" s="11" t="s">
        <v>278</v>
      </c>
      <c r="B94" s="11" t="s">
        <v>274</v>
      </c>
      <c r="C94" s="11" t="s">
        <v>277</v>
      </c>
      <c r="D94" s="11" t="s">
        <v>275</v>
      </c>
      <c r="E94" s="11" t="s">
        <v>276</v>
      </c>
    </row>
    <row r="95" spans="1:5" ht="15.6" x14ac:dyDescent="0.3">
      <c r="A95" s="1" t="s">
        <v>9</v>
      </c>
      <c r="B95" s="7">
        <v>12</v>
      </c>
      <c r="C95" s="8">
        <v>3.1830238726790451E-2</v>
      </c>
      <c r="D95" s="9">
        <v>6</v>
      </c>
      <c r="E95" s="10">
        <v>1.7492711370262391E-2</v>
      </c>
    </row>
    <row r="96" spans="1:5" ht="15.6" x14ac:dyDescent="0.3">
      <c r="A96" s="1" t="s">
        <v>10</v>
      </c>
      <c r="B96" s="7">
        <v>28</v>
      </c>
      <c r="C96" s="8">
        <v>7.4270557029177717E-2</v>
      </c>
      <c r="D96" s="9">
        <v>11</v>
      </c>
      <c r="E96" s="10">
        <v>3.2069970845481049E-2</v>
      </c>
    </row>
    <row r="97" spans="1:5" ht="15.6" x14ac:dyDescent="0.3">
      <c r="A97" s="1" t="s">
        <v>11</v>
      </c>
      <c r="B97" s="7">
        <v>45</v>
      </c>
      <c r="C97" s="8">
        <v>0.11936339522546419</v>
      </c>
      <c r="D97" s="9">
        <v>28</v>
      </c>
      <c r="E97" s="10">
        <v>8.1632653061224497E-2</v>
      </c>
    </row>
    <row r="98" spans="1:5" ht="15.6" x14ac:dyDescent="0.3">
      <c r="A98" s="1" t="s">
        <v>12</v>
      </c>
      <c r="B98" s="7">
        <v>168</v>
      </c>
      <c r="C98" s="8">
        <v>0.44562334217506633</v>
      </c>
      <c r="D98" s="9">
        <v>124</v>
      </c>
      <c r="E98" s="10">
        <v>0.36151603498542273</v>
      </c>
    </row>
    <row r="99" spans="1:5" ht="15.6" x14ac:dyDescent="0.3">
      <c r="A99" s="21" t="s">
        <v>13</v>
      </c>
      <c r="B99" s="22">
        <v>124</v>
      </c>
      <c r="C99" s="23">
        <v>0.32891246684350134</v>
      </c>
      <c r="D99" s="24">
        <v>174</v>
      </c>
      <c r="E99" s="25">
        <v>0.50728862973760935</v>
      </c>
    </row>
    <row r="100" spans="1:5" ht="15.6" x14ac:dyDescent="0.3">
      <c r="A100" s="31" t="s">
        <v>4</v>
      </c>
      <c r="B100" s="35">
        <f>SUBTOTAL(109,Table16[Pre Count])</f>
        <v>377</v>
      </c>
      <c r="C100" s="36">
        <f>SUBTOTAL(109,Table16[Pre Count %])</f>
        <v>1</v>
      </c>
      <c r="D100" s="37">
        <f>SUBTOTAL(109,Table16[Post Count])</f>
        <v>343</v>
      </c>
      <c r="E100" s="34">
        <f>SUBTOTAL(109,Table16[Post Count %])</f>
        <v>1</v>
      </c>
    </row>
    <row r="101" spans="1:5" ht="15" x14ac:dyDescent="0.3">
      <c r="A101" s="15"/>
      <c r="B101" s="7"/>
      <c r="C101" s="8"/>
      <c r="D101" s="9"/>
      <c r="E101" s="10"/>
    </row>
    <row r="102" spans="1:5" ht="15" x14ac:dyDescent="0.3">
      <c r="A102" s="45" t="s">
        <v>298</v>
      </c>
      <c r="B102" s="45"/>
      <c r="C102" s="45"/>
      <c r="D102" s="45"/>
      <c r="E102" s="45"/>
    </row>
    <row r="103" spans="1:5" ht="15.6" x14ac:dyDescent="0.3">
      <c r="A103" s="11" t="s">
        <v>278</v>
      </c>
      <c r="B103" s="11" t="s">
        <v>274</v>
      </c>
      <c r="C103" s="11" t="s">
        <v>277</v>
      </c>
      <c r="D103" s="11" t="s">
        <v>275</v>
      </c>
      <c r="E103" s="11" t="s">
        <v>276</v>
      </c>
    </row>
    <row r="104" spans="1:5" ht="15.6" x14ac:dyDescent="0.3">
      <c r="A104" s="1" t="s">
        <v>9</v>
      </c>
      <c r="B104" s="7">
        <v>18</v>
      </c>
      <c r="C104" s="8">
        <v>4.7745358090185673E-2</v>
      </c>
      <c r="D104" s="9">
        <v>11</v>
      </c>
      <c r="E104" s="10">
        <v>3.2069970845481049E-2</v>
      </c>
    </row>
    <row r="105" spans="1:5" ht="15.6" x14ac:dyDescent="0.3">
      <c r="A105" s="1" t="s">
        <v>10</v>
      </c>
      <c r="B105" s="7">
        <v>61</v>
      </c>
      <c r="C105" s="8">
        <v>0.16180371352785147</v>
      </c>
      <c r="D105" s="9">
        <v>29</v>
      </c>
      <c r="E105" s="10">
        <v>8.4548104956268216E-2</v>
      </c>
    </row>
    <row r="106" spans="1:5" ht="15.6" x14ac:dyDescent="0.3">
      <c r="A106" s="1" t="s">
        <v>11</v>
      </c>
      <c r="B106" s="7">
        <v>168</v>
      </c>
      <c r="C106" s="8">
        <v>0.44562334217506633</v>
      </c>
      <c r="D106" s="9">
        <v>141</v>
      </c>
      <c r="E106" s="10">
        <v>0.41107871720116618</v>
      </c>
    </row>
    <row r="107" spans="1:5" ht="15.6" x14ac:dyDescent="0.3">
      <c r="A107" s="1" t="s">
        <v>12</v>
      </c>
      <c r="B107" s="7">
        <v>82</v>
      </c>
      <c r="C107" s="8">
        <v>0.21750663129973474</v>
      </c>
      <c r="D107" s="9">
        <v>82</v>
      </c>
      <c r="E107" s="10">
        <v>0.239067055393586</v>
      </c>
    </row>
    <row r="108" spans="1:5" ht="15.6" x14ac:dyDescent="0.3">
      <c r="A108" s="21" t="s">
        <v>13</v>
      </c>
      <c r="B108" s="22">
        <v>48</v>
      </c>
      <c r="C108" s="23">
        <v>0.1273209549071618</v>
      </c>
      <c r="D108" s="24">
        <v>80</v>
      </c>
      <c r="E108" s="25">
        <v>0.23323615160349853</v>
      </c>
    </row>
    <row r="109" spans="1:5" ht="15.6" x14ac:dyDescent="0.3">
      <c r="A109" s="31" t="s">
        <v>4</v>
      </c>
      <c r="B109" s="35">
        <f>SUBTOTAL(109,Table17[Pre Count])</f>
        <v>377</v>
      </c>
      <c r="C109" s="36">
        <f>SUBTOTAL(109,Table17[Pre Count %])</f>
        <v>0.99999999999999989</v>
      </c>
      <c r="D109" s="37">
        <f>SUBTOTAL(109,Table17[Post Count])</f>
        <v>343</v>
      </c>
      <c r="E109" s="34">
        <f>SUBTOTAL(109,Table17[Post Count %])</f>
        <v>1</v>
      </c>
    </row>
    <row r="110" spans="1:5" ht="15" x14ac:dyDescent="0.3">
      <c r="A110" s="15"/>
      <c r="B110" s="7"/>
      <c r="C110" s="8"/>
      <c r="D110" s="9"/>
      <c r="E110" s="10"/>
    </row>
    <row r="111" spans="1:5" ht="15" x14ac:dyDescent="0.3">
      <c r="A111" s="45" t="s">
        <v>299</v>
      </c>
      <c r="B111" s="45"/>
      <c r="C111" s="45"/>
      <c r="D111" s="45"/>
      <c r="E111" s="45"/>
    </row>
    <row r="112" spans="1:5" ht="15.6" x14ac:dyDescent="0.3">
      <c r="A112" s="11" t="s">
        <v>278</v>
      </c>
      <c r="B112" s="11" t="s">
        <v>274</v>
      </c>
      <c r="C112" s="11" t="s">
        <v>277</v>
      </c>
      <c r="D112" s="11" t="s">
        <v>275</v>
      </c>
      <c r="E112" s="11" t="s">
        <v>276</v>
      </c>
    </row>
    <row r="113" spans="1:5" ht="15.6" x14ac:dyDescent="0.3">
      <c r="A113" s="1" t="s">
        <v>9</v>
      </c>
      <c r="B113" s="7">
        <v>12</v>
      </c>
      <c r="C113" s="8">
        <v>3.1830238726790451E-2</v>
      </c>
      <c r="D113" s="9">
        <v>10</v>
      </c>
      <c r="E113" s="10">
        <v>2.9154518950437316E-2</v>
      </c>
    </row>
    <row r="114" spans="1:5" ht="15.6" x14ac:dyDescent="0.3">
      <c r="A114" s="1" t="s">
        <v>10</v>
      </c>
      <c r="B114" s="7">
        <v>28</v>
      </c>
      <c r="C114" s="8">
        <v>7.4270557029177717E-2</v>
      </c>
      <c r="D114" s="9">
        <v>14</v>
      </c>
      <c r="E114" s="10">
        <v>4.0816326530612249E-2</v>
      </c>
    </row>
    <row r="115" spans="1:5" ht="15.6" x14ac:dyDescent="0.3">
      <c r="A115" s="1" t="s">
        <v>11</v>
      </c>
      <c r="B115" s="7">
        <v>140</v>
      </c>
      <c r="C115" s="8">
        <v>0.3713527851458886</v>
      </c>
      <c r="D115" s="9">
        <v>112</v>
      </c>
      <c r="E115" s="10">
        <v>0.32653061224489799</v>
      </c>
    </row>
    <row r="116" spans="1:5" ht="15.6" x14ac:dyDescent="0.3">
      <c r="A116" s="1" t="s">
        <v>12</v>
      </c>
      <c r="B116" s="7">
        <v>132</v>
      </c>
      <c r="C116" s="8">
        <v>0.35013262599469497</v>
      </c>
      <c r="D116" s="9">
        <v>111</v>
      </c>
      <c r="E116" s="10">
        <v>0.32361516034985421</v>
      </c>
    </row>
    <row r="117" spans="1:5" ht="15.6" x14ac:dyDescent="0.3">
      <c r="A117" s="21" t="s">
        <v>13</v>
      </c>
      <c r="B117" s="22">
        <v>65</v>
      </c>
      <c r="C117" s="23">
        <v>0.17241379310344829</v>
      </c>
      <c r="D117" s="24">
        <v>96</v>
      </c>
      <c r="E117" s="25">
        <v>0.27988338192419826</v>
      </c>
    </row>
    <row r="118" spans="1:5" ht="15.6" x14ac:dyDescent="0.3">
      <c r="A118" s="31" t="s">
        <v>4</v>
      </c>
      <c r="B118" s="35">
        <f>SUBTOTAL(109,Table18[Pre Count])</f>
        <v>377</v>
      </c>
      <c r="C118" s="36">
        <f>SUBTOTAL(109,Table18[Pre Count %])</f>
        <v>1</v>
      </c>
      <c r="D118" s="37">
        <f>SUBTOTAL(109,Table18[Post Count])</f>
        <v>343</v>
      </c>
      <c r="E118" s="34">
        <f>SUBTOTAL(109,Table18[Post Count %])</f>
        <v>1</v>
      </c>
    </row>
    <row r="119" spans="1:5" ht="15" x14ac:dyDescent="0.3">
      <c r="A119" s="15"/>
      <c r="B119" s="7"/>
      <c r="C119" s="8"/>
      <c r="D119" s="9"/>
      <c r="E119" s="10"/>
    </row>
    <row r="120" spans="1:5" ht="15" x14ac:dyDescent="0.3">
      <c r="A120" s="45" t="s">
        <v>300</v>
      </c>
      <c r="B120" s="45"/>
      <c r="C120" s="45"/>
      <c r="D120" s="45"/>
      <c r="E120" s="45"/>
    </row>
    <row r="121" spans="1:5" ht="15.6" x14ac:dyDescent="0.3">
      <c r="A121" s="11" t="s">
        <v>278</v>
      </c>
      <c r="B121" s="11" t="s">
        <v>274</v>
      </c>
      <c r="C121" s="11" t="s">
        <v>277</v>
      </c>
      <c r="D121" s="11" t="s">
        <v>275</v>
      </c>
      <c r="E121" s="11" t="s">
        <v>276</v>
      </c>
    </row>
    <row r="122" spans="1:5" ht="15.6" x14ac:dyDescent="0.3">
      <c r="A122" s="1" t="s">
        <v>9</v>
      </c>
      <c r="B122" s="7">
        <v>7</v>
      </c>
      <c r="C122" s="8">
        <v>1.8567639257294429E-2</v>
      </c>
      <c r="D122" s="9">
        <v>7</v>
      </c>
      <c r="E122" s="10">
        <v>2.0408163265306124E-2</v>
      </c>
    </row>
    <row r="123" spans="1:5" ht="15.6" x14ac:dyDescent="0.3">
      <c r="A123" s="1" t="s">
        <v>10</v>
      </c>
      <c r="B123" s="7">
        <v>20</v>
      </c>
      <c r="C123" s="8">
        <v>5.3050397877984087E-2</v>
      </c>
      <c r="D123" s="9">
        <v>8</v>
      </c>
      <c r="E123" s="10">
        <v>2.3323615160349854E-2</v>
      </c>
    </row>
    <row r="124" spans="1:5" ht="15.6" x14ac:dyDescent="0.3">
      <c r="A124" s="1" t="s">
        <v>11</v>
      </c>
      <c r="B124" s="7">
        <v>283</v>
      </c>
      <c r="C124" s="8">
        <v>0.75066312997347484</v>
      </c>
      <c r="D124" s="9">
        <v>241</v>
      </c>
      <c r="E124" s="10">
        <v>0.70262390670553931</v>
      </c>
    </row>
    <row r="125" spans="1:5" ht="15.6" x14ac:dyDescent="0.3">
      <c r="A125" s="1" t="s">
        <v>12</v>
      </c>
      <c r="B125" s="7">
        <v>43</v>
      </c>
      <c r="C125" s="8">
        <v>0.11405835543766578</v>
      </c>
      <c r="D125" s="9">
        <v>42</v>
      </c>
      <c r="E125" s="10">
        <v>0.12244897959183673</v>
      </c>
    </row>
    <row r="126" spans="1:5" ht="15.6" x14ac:dyDescent="0.3">
      <c r="A126" s="21" t="s">
        <v>13</v>
      </c>
      <c r="B126" s="22">
        <v>24</v>
      </c>
      <c r="C126" s="23">
        <v>6.3660477453580902E-2</v>
      </c>
      <c r="D126" s="24">
        <v>45</v>
      </c>
      <c r="E126" s="25">
        <v>0.13119533527696792</v>
      </c>
    </row>
    <row r="127" spans="1:5" ht="15.6" x14ac:dyDescent="0.3">
      <c r="A127" s="31" t="s">
        <v>4</v>
      </c>
      <c r="B127" s="35">
        <f>SUBTOTAL(109,Table19[Pre Count])</f>
        <v>377</v>
      </c>
      <c r="C127" s="36">
        <f>SUBTOTAL(109,Table19[Pre Count %])</f>
        <v>1</v>
      </c>
      <c r="D127" s="37">
        <f>SUBTOTAL(109,Table19[Post Count])</f>
        <v>343</v>
      </c>
      <c r="E127" s="34">
        <f>SUBTOTAL(109,Table19[Post Count %])</f>
        <v>1</v>
      </c>
    </row>
    <row r="128" spans="1:5" ht="15" x14ac:dyDescent="0.3">
      <c r="A128" s="15"/>
      <c r="B128" s="7"/>
      <c r="C128" s="8"/>
      <c r="D128" s="9"/>
      <c r="E128" s="10"/>
    </row>
    <row r="129" spans="1:5" ht="15" x14ac:dyDescent="0.3">
      <c r="A129" s="45" t="s">
        <v>301</v>
      </c>
      <c r="B129" s="45"/>
      <c r="C129" s="45"/>
      <c r="D129" s="45"/>
      <c r="E129" s="45"/>
    </row>
    <row r="130" spans="1:5" ht="15.6" x14ac:dyDescent="0.3">
      <c r="A130" s="11" t="s">
        <v>278</v>
      </c>
      <c r="B130" s="11" t="s">
        <v>274</v>
      </c>
      <c r="C130" s="11" t="s">
        <v>277</v>
      </c>
      <c r="D130" s="11" t="s">
        <v>275</v>
      </c>
      <c r="E130" s="11" t="s">
        <v>276</v>
      </c>
    </row>
    <row r="131" spans="1:5" ht="15.6" x14ac:dyDescent="0.3">
      <c r="A131" s="1" t="s">
        <v>9</v>
      </c>
      <c r="B131" s="7">
        <v>8</v>
      </c>
      <c r="C131" s="8">
        <v>2.1220159151193633E-2</v>
      </c>
      <c r="D131" s="9">
        <v>7</v>
      </c>
      <c r="E131" s="10">
        <v>2.0408163265306124E-2</v>
      </c>
    </row>
    <row r="132" spans="1:5" ht="15.6" x14ac:dyDescent="0.3">
      <c r="A132" s="1" t="s">
        <v>10</v>
      </c>
      <c r="B132" s="7">
        <v>22</v>
      </c>
      <c r="C132" s="8">
        <v>5.8355437665782495E-2</v>
      </c>
      <c r="D132" s="9">
        <v>6</v>
      </c>
      <c r="E132" s="10">
        <v>1.7492711370262391E-2</v>
      </c>
    </row>
    <row r="133" spans="1:5" ht="15.6" x14ac:dyDescent="0.3">
      <c r="A133" s="1" t="s">
        <v>11</v>
      </c>
      <c r="B133" s="7">
        <v>225</v>
      </c>
      <c r="C133" s="8">
        <v>0.59681697612732099</v>
      </c>
      <c r="D133" s="9">
        <v>214</v>
      </c>
      <c r="E133" s="10">
        <v>0.62390670553935856</v>
      </c>
    </row>
    <row r="134" spans="1:5" ht="15.6" x14ac:dyDescent="0.3">
      <c r="A134" s="1" t="s">
        <v>12</v>
      </c>
      <c r="B134" s="7">
        <v>77</v>
      </c>
      <c r="C134" s="8">
        <v>0.20424403183023873</v>
      </c>
      <c r="D134" s="9">
        <v>55</v>
      </c>
      <c r="E134" s="10">
        <v>0.16034985422740525</v>
      </c>
    </row>
    <row r="135" spans="1:5" ht="15.6" x14ac:dyDescent="0.3">
      <c r="A135" s="21" t="s">
        <v>13</v>
      </c>
      <c r="B135" s="22">
        <v>45</v>
      </c>
      <c r="C135" s="23">
        <v>0.11936339522546419</v>
      </c>
      <c r="D135" s="24">
        <v>61</v>
      </c>
      <c r="E135" s="25">
        <v>0.17784256559766765</v>
      </c>
    </row>
    <row r="136" spans="1:5" ht="15.6" x14ac:dyDescent="0.3">
      <c r="A136" s="31" t="s">
        <v>4</v>
      </c>
      <c r="B136" s="35">
        <f>SUBTOTAL(109,Table20[Pre Count])</f>
        <v>377</v>
      </c>
      <c r="C136" s="36">
        <f>SUBTOTAL(109,Table20[Pre Count %])</f>
        <v>1</v>
      </c>
      <c r="D136" s="37">
        <f>SUBTOTAL(109,Table20[Post Count])</f>
        <v>343</v>
      </c>
      <c r="E136" s="34">
        <f>SUBTOTAL(109,Table20[Post Count %])</f>
        <v>0.99999999999999989</v>
      </c>
    </row>
    <row r="137" spans="1:5" ht="15" x14ac:dyDescent="0.3">
      <c r="A137" s="15"/>
      <c r="B137" s="7"/>
      <c r="C137" s="8"/>
      <c r="D137" s="9"/>
      <c r="E137" s="10"/>
    </row>
    <row r="138" spans="1:5" ht="15" x14ac:dyDescent="0.3">
      <c r="A138" s="45" t="s">
        <v>302</v>
      </c>
      <c r="B138" s="45"/>
      <c r="C138" s="45"/>
      <c r="D138" s="45"/>
      <c r="E138" s="45"/>
    </row>
    <row r="139" spans="1:5" ht="15.6" x14ac:dyDescent="0.3">
      <c r="A139" s="11" t="s">
        <v>278</v>
      </c>
      <c r="B139" s="11" t="s">
        <v>274</v>
      </c>
      <c r="C139" s="11" t="s">
        <v>277</v>
      </c>
      <c r="D139" s="11" t="s">
        <v>275</v>
      </c>
      <c r="E139" s="11" t="s">
        <v>276</v>
      </c>
    </row>
    <row r="140" spans="1:5" ht="15.6" x14ac:dyDescent="0.3">
      <c r="A140" s="1" t="s">
        <v>9</v>
      </c>
      <c r="B140" s="7">
        <v>13</v>
      </c>
      <c r="C140" s="8">
        <v>3.4482758620689655E-2</v>
      </c>
      <c r="D140" s="9">
        <v>10</v>
      </c>
      <c r="E140" s="10">
        <v>2.9154518950437316E-2</v>
      </c>
    </row>
    <row r="141" spans="1:5" ht="15.6" x14ac:dyDescent="0.3">
      <c r="A141" s="1" t="s">
        <v>10</v>
      </c>
      <c r="B141" s="7">
        <v>22</v>
      </c>
      <c r="C141" s="8">
        <v>5.8355437665782495E-2</v>
      </c>
      <c r="D141" s="9">
        <v>8</v>
      </c>
      <c r="E141" s="10">
        <v>2.3323615160349854E-2</v>
      </c>
    </row>
    <row r="142" spans="1:5" ht="15.6" x14ac:dyDescent="0.3">
      <c r="A142" s="1" t="s">
        <v>11</v>
      </c>
      <c r="B142" s="7">
        <v>276</v>
      </c>
      <c r="C142" s="8">
        <v>0.73209549071618041</v>
      </c>
      <c r="D142" s="9">
        <v>265</v>
      </c>
      <c r="E142" s="10">
        <v>0.77259475218658891</v>
      </c>
    </row>
    <row r="143" spans="1:5" ht="15.6" x14ac:dyDescent="0.3">
      <c r="A143" s="1" t="s">
        <v>12</v>
      </c>
      <c r="B143" s="7">
        <v>46</v>
      </c>
      <c r="C143" s="8">
        <v>0.1220159151193634</v>
      </c>
      <c r="D143" s="9">
        <v>31</v>
      </c>
      <c r="E143" s="10">
        <v>9.0379008746355682E-2</v>
      </c>
    </row>
    <row r="144" spans="1:5" ht="15.6" x14ac:dyDescent="0.3">
      <c r="A144" s="21" t="s">
        <v>13</v>
      </c>
      <c r="B144" s="22">
        <v>20</v>
      </c>
      <c r="C144" s="23">
        <v>5.3050397877984087E-2</v>
      </c>
      <c r="D144" s="24">
        <v>29</v>
      </c>
      <c r="E144" s="25">
        <v>8.4548104956268216E-2</v>
      </c>
    </row>
    <row r="145" spans="1:5" ht="15.6" x14ac:dyDescent="0.3">
      <c r="A145" s="31" t="s">
        <v>4</v>
      </c>
      <c r="B145" s="35">
        <f>SUBTOTAL(109,Table21[Pre Count])</f>
        <v>377</v>
      </c>
      <c r="C145" s="36">
        <f>SUBTOTAL(109,Table21[Pre Count %])</f>
        <v>1</v>
      </c>
      <c r="D145" s="37">
        <f>SUBTOTAL(109,Table21[Post Count])</f>
        <v>343</v>
      </c>
      <c r="E145" s="34">
        <f>SUBTOTAL(109,Table21[Post Count %])</f>
        <v>1</v>
      </c>
    </row>
    <row r="146" spans="1:5" ht="15" x14ac:dyDescent="0.3">
      <c r="A146" s="15"/>
      <c r="B146" s="7"/>
      <c r="C146" s="8"/>
      <c r="D146" s="9"/>
      <c r="E146" s="10"/>
    </row>
    <row r="147" spans="1:5" ht="15" x14ac:dyDescent="0.3">
      <c r="A147" s="45" t="s">
        <v>303</v>
      </c>
      <c r="B147" s="45"/>
      <c r="C147" s="45"/>
      <c r="D147" s="45"/>
      <c r="E147" s="45"/>
    </row>
    <row r="148" spans="1:5" ht="15.6" x14ac:dyDescent="0.3">
      <c r="A148" s="11" t="s">
        <v>278</v>
      </c>
      <c r="B148" s="11" t="s">
        <v>274</v>
      </c>
      <c r="C148" s="11" t="s">
        <v>277</v>
      </c>
      <c r="D148" s="11" t="s">
        <v>275</v>
      </c>
      <c r="E148" s="11" t="s">
        <v>276</v>
      </c>
    </row>
    <row r="149" spans="1:5" ht="15.6" x14ac:dyDescent="0.3">
      <c r="A149" s="1" t="s">
        <v>9</v>
      </c>
      <c r="B149" s="7">
        <v>13</v>
      </c>
      <c r="C149" s="8">
        <v>3.4482758620689655E-2</v>
      </c>
      <c r="D149" s="9">
        <v>10</v>
      </c>
      <c r="E149" s="10">
        <v>2.9154518950437316E-2</v>
      </c>
    </row>
    <row r="150" spans="1:5" ht="15.6" x14ac:dyDescent="0.3">
      <c r="A150" s="1" t="s">
        <v>10</v>
      </c>
      <c r="B150" s="7">
        <v>48</v>
      </c>
      <c r="C150" s="8">
        <v>0.1273209549071618</v>
      </c>
      <c r="D150" s="9">
        <v>13</v>
      </c>
      <c r="E150" s="10">
        <v>3.7900874635568516E-2</v>
      </c>
    </row>
    <row r="151" spans="1:5" ht="15.6" x14ac:dyDescent="0.3">
      <c r="A151" s="1" t="s">
        <v>11</v>
      </c>
      <c r="B151" s="7">
        <v>120</v>
      </c>
      <c r="C151" s="8">
        <v>0.3183023872679045</v>
      </c>
      <c r="D151" s="9">
        <v>106</v>
      </c>
      <c r="E151" s="10">
        <v>0.30903790087463556</v>
      </c>
    </row>
    <row r="152" spans="1:5" ht="15.6" x14ac:dyDescent="0.3">
      <c r="A152" s="1" t="s">
        <v>12</v>
      </c>
      <c r="B152" s="7">
        <v>111</v>
      </c>
      <c r="C152" s="8">
        <v>0.29442970822281167</v>
      </c>
      <c r="D152" s="9">
        <v>107</v>
      </c>
      <c r="E152" s="10">
        <v>0.31195335276967928</v>
      </c>
    </row>
    <row r="153" spans="1:5" ht="15.6" x14ac:dyDescent="0.3">
      <c r="A153" s="21" t="s">
        <v>13</v>
      </c>
      <c r="B153" s="22">
        <v>85</v>
      </c>
      <c r="C153" s="23">
        <v>0.22546419098143236</v>
      </c>
      <c r="D153" s="24">
        <v>107</v>
      </c>
      <c r="E153" s="25">
        <v>0.31195335276967928</v>
      </c>
    </row>
    <row r="154" spans="1:5" ht="15.6" x14ac:dyDescent="0.3">
      <c r="A154" s="31" t="s">
        <v>4</v>
      </c>
      <c r="B154" s="32"/>
      <c r="C154" s="33"/>
      <c r="D154" s="33"/>
      <c r="E154" s="34">
        <f>SUBTOTAL(109,Table22[Post Count %])</f>
        <v>0.99999999999999989</v>
      </c>
    </row>
    <row r="155" spans="1:5" ht="15" x14ac:dyDescent="0.3">
      <c r="A155" s="15"/>
      <c r="B155" s="7"/>
      <c r="C155" s="8"/>
      <c r="D155" s="9"/>
      <c r="E155" s="10"/>
    </row>
    <row r="156" spans="1:5" ht="15" x14ac:dyDescent="0.3">
      <c r="A156" s="45" t="s">
        <v>304</v>
      </c>
      <c r="B156" s="45"/>
      <c r="C156" s="45"/>
      <c r="D156" s="45"/>
      <c r="E156" s="45"/>
    </row>
    <row r="157" spans="1:5" ht="15.6" x14ac:dyDescent="0.3">
      <c r="A157" s="11" t="s">
        <v>278</v>
      </c>
      <c r="B157" s="11" t="s">
        <v>274</v>
      </c>
      <c r="C157" s="11" t="s">
        <v>277</v>
      </c>
      <c r="D157" s="11" t="s">
        <v>275</v>
      </c>
      <c r="E157" s="11" t="s">
        <v>276</v>
      </c>
    </row>
    <row r="158" spans="1:5" ht="15.6" x14ac:dyDescent="0.3">
      <c r="A158" s="1" t="s">
        <v>9</v>
      </c>
      <c r="B158" s="7">
        <v>18</v>
      </c>
      <c r="C158" s="8">
        <v>4.7745358090185673E-2</v>
      </c>
      <c r="D158" s="9">
        <v>10</v>
      </c>
      <c r="E158" s="10">
        <v>2.9154518950437316E-2</v>
      </c>
    </row>
    <row r="159" spans="1:5" ht="15.6" x14ac:dyDescent="0.3">
      <c r="A159" s="1" t="s">
        <v>10</v>
      </c>
      <c r="B159" s="7">
        <v>57</v>
      </c>
      <c r="C159" s="8">
        <v>0.15119363395225463</v>
      </c>
      <c r="D159" s="9">
        <v>10</v>
      </c>
      <c r="E159" s="10">
        <v>2.9154518950437316E-2</v>
      </c>
    </row>
    <row r="160" spans="1:5" ht="15.6" x14ac:dyDescent="0.3">
      <c r="A160" s="1" t="s">
        <v>11</v>
      </c>
      <c r="B160" s="7">
        <v>68</v>
      </c>
      <c r="C160" s="8">
        <v>0.18037135278514588</v>
      </c>
      <c r="D160" s="9">
        <v>34</v>
      </c>
      <c r="E160" s="10">
        <v>9.9125364431486881E-2</v>
      </c>
    </row>
    <row r="161" spans="1:5" ht="15.6" x14ac:dyDescent="0.3">
      <c r="A161" s="1" t="s">
        <v>12</v>
      </c>
      <c r="B161" s="7">
        <v>134</v>
      </c>
      <c r="C161" s="8">
        <v>0.35543766578249331</v>
      </c>
      <c r="D161" s="9">
        <v>105</v>
      </c>
      <c r="E161" s="10">
        <v>0.30612244897959184</v>
      </c>
    </row>
    <row r="162" spans="1:5" ht="15.6" x14ac:dyDescent="0.3">
      <c r="A162" s="21" t="s">
        <v>13</v>
      </c>
      <c r="B162" s="22">
        <v>100</v>
      </c>
      <c r="C162" s="23">
        <v>0.26525198938992045</v>
      </c>
      <c r="D162" s="24">
        <v>184</v>
      </c>
      <c r="E162" s="25">
        <v>0.53644314868804666</v>
      </c>
    </row>
    <row r="163" spans="1:5" ht="15.6" x14ac:dyDescent="0.3">
      <c r="A163" s="31" t="s">
        <v>4</v>
      </c>
      <c r="B163" s="35">
        <f>SUBTOTAL(109,Table23[Pre Count])</f>
        <v>377</v>
      </c>
      <c r="C163" s="36">
        <f>SUBTOTAL(109,Table23[Pre Count %])</f>
        <v>0.99999999999999989</v>
      </c>
      <c r="D163" s="37">
        <f>SUBTOTAL(109,Table23[Post Count])</f>
        <v>343</v>
      </c>
      <c r="E163" s="34">
        <f>SUBTOTAL(109,Table23[Post Count %])</f>
        <v>1</v>
      </c>
    </row>
    <row r="164" spans="1:5" ht="15" x14ac:dyDescent="0.3">
      <c r="A164" s="15"/>
      <c r="B164" s="7"/>
      <c r="C164" s="8"/>
      <c r="D164" s="9"/>
      <c r="E164" s="10"/>
    </row>
    <row r="165" spans="1:5" ht="15" x14ac:dyDescent="0.3">
      <c r="A165" s="45" t="s">
        <v>305</v>
      </c>
      <c r="B165" s="45"/>
      <c r="C165" s="45"/>
      <c r="D165" s="45"/>
      <c r="E165" s="45"/>
    </row>
    <row r="166" spans="1:5" ht="15.6" x14ac:dyDescent="0.3">
      <c r="A166" s="11" t="s">
        <v>278</v>
      </c>
      <c r="B166" s="11" t="s">
        <v>274</v>
      </c>
      <c r="C166" s="11" t="s">
        <v>277</v>
      </c>
      <c r="D166" s="11" t="s">
        <v>275</v>
      </c>
      <c r="E166" s="11" t="s">
        <v>276</v>
      </c>
    </row>
    <row r="167" spans="1:5" ht="15.6" x14ac:dyDescent="0.3">
      <c r="A167" s="1" t="s">
        <v>9</v>
      </c>
      <c r="B167" s="7">
        <v>9</v>
      </c>
      <c r="C167" s="8">
        <v>2.3872679045092837E-2</v>
      </c>
      <c r="D167" s="9">
        <v>7</v>
      </c>
      <c r="E167" s="10">
        <v>2.0408163265306124E-2</v>
      </c>
    </row>
    <row r="168" spans="1:5" ht="15.6" x14ac:dyDescent="0.3">
      <c r="A168" s="1" t="s">
        <v>10</v>
      </c>
      <c r="B168" s="7">
        <v>25</v>
      </c>
      <c r="C168" s="8">
        <v>6.6312997347480113E-2</v>
      </c>
      <c r="D168" s="9">
        <v>3</v>
      </c>
      <c r="E168" s="10">
        <v>8.7463556851311956E-3</v>
      </c>
    </row>
    <row r="169" spans="1:5" ht="15.6" x14ac:dyDescent="0.3">
      <c r="A169" s="1" t="s">
        <v>11</v>
      </c>
      <c r="B169" s="7">
        <v>274</v>
      </c>
      <c r="C169" s="8">
        <v>0.72679045092838213</v>
      </c>
      <c r="D169" s="9">
        <v>260</v>
      </c>
      <c r="E169" s="10">
        <v>0.75801749271137031</v>
      </c>
    </row>
    <row r="170" spans="1:5" ht="15.6" x14ac:dyDescent="0.3">
      <c r="A170" s="1" t="s">
        <v>12</v>
      </c>
      <c r="B170" s="7">
        <v>46</v>
      </c>
      <c r="C170" s="8">
        <v>0.1220159151193634</v>
      </c>
      <c r="D170" s="9">
        <v>29</v>
      </c>
      <c r="E170" s="10">
        <v>8.4548104956268216E-2</v>
      </c>
    </row>
    <row r="171" spans="1:5" ht="15.6" x14ac:dyDescent="0.3">
      <c r="A171" s="21" t="s">
        <v>13</v>
      </c>
      <c r="B171" s="22">
        <v>23</v>
      </c>
      <c r="C171" s="23">
        <v>6.1007957559681698E-2</v>
      </c>
      <c r="D171" s="24">
        <v>44</v>
      </c>
      <c r="E171" s="25">
        <v>0.1282798833819242</v>
      </c>
    </row>
    <row r="172" spans="1:5" ht="15.6" x14ac:dyDescent="0.3">
      <c r="A172" s="31" t="s">
        <v>4</v>
      </c>
      <c r="B172" s="35">
        <f>SUBTOTAL(109,Table24[Pre Count])</f>
        <v>377</v>
      </c>
      <c r="C172" s="36">
        <f>SUBTOTAL(109,Table24[Pre Count %])</f>
        <v>1.0000000000000002</v>
      </c>
      <c r="D172" s="37">
        <f>SUBTOTAL(109,Table24[Post Count])</f>
        <v>343</v>
      </c>
      <c r="E172" s="34">
        <f>SUBTOTAL(109,Table24[Post Count %])</f>
        <v>1</v>
      </c>
    </row>
    <row r="173" spans="1:5" ht="15" x14ac:dyDescent="0.3">
      <c r="A173" s="15"/>
      <c r="B173" s="7"/>
      <c r="C173" s="8"/>
      <c r="D173" s="9"/>
      <c r="E173" s="10"/>
    </row>
    <row r="174" spans="1:5" ht="15" x14ac:dyDescent="0.3">
      <c r="A174" s="45" t="s">
        <v>306</v>
      </c>
      <c r="B174" s="45"/>
      <c r="C174" s="45"/>
      <c r="D174" s="45"/>
      <c r="E174" s="45"/>
    </row>
    <row r="175" spans="1:5" ht="15.6" x14ac:dyDescent="0.3">
      <c r="A175" s="11" t="s">
        <v>278</v>
      </c>
      <c r="B175" s="11" t="s">
        <v>274</v>
      </c>
      <c r="C175" s="11" t="s">
        <v>277</v>
      </c>
      <c r="D175" s="11" t="s">
        <v>275</v>
      </c>
      <c r="E175" s="11" t="s">
        <v>276</v>
      </c>
    </row>
    <row r="176" spans="1:5" ht="15.6" x14ac:dyDescent="0.3">
      <c r="A176" s="1" t="s">
        <v>9</v>
      </c>
      <c r="B176" s="7">
        <v>6</v>
      </c>
      <c r="C176" s="8">
        <v>1.5915119363395226E-2</v>
      </c>
      <c r="D176" s="9">
        <v>8</v>
      </c>
      <c r="E176" s="10">
        <v>2.3323615160349854E-2</v>
      </c>
    </row>
    <row r="177" spans="1:5" ht="15.6" x14ac:dyDescent="0.3">
      <c r="A177" s="1" t="s">
        <v>10</v>
      </c>
      <c r="B177" s="7">
        <v>16</v>
      </c>
      <c r="C177" s="8">
        <v>4.2440318302387266E-2</v>
      </c>
      <c r="D177" s="9">
        <v>3</v>
      </c>
      <c r="E177" s="10">
        <v>8.7463556851311956E-3</v>
      </c>
    </row>
    <row r="178" spans="1:5" ht="15.6" x14ac:dyDescent="0.3">
      <c r="A178" s="1" t="s">
        <v>11</v>
      </c>
      <c r="B178" s="7">
        <v>255</v>
      </c>
      <c r="C178" s="8">
        <v>0.67639257294429711</v>
      </c>
      <c r="D178" s="9">
        <v>228</v>
      </c>
      <c r="E178" s="10">
        <v>0.66472303206997085</v>
      </c>
    </row>
    <row r="179" spans="1:5" ht="15.6" x14ac:dyDescent="0.3">
      <c r="A179" s="1" t="s">
        <v>12</v>
      </c>
      <c r="B179" s="7">
        <v>71</v>
      </c>
      <c r="C179" s="8">
        <v>0.18832891246684352</v>
      </c>
      <c r="D179" s="9">
        <v>60</v>
      </c>
      <c r="E179" s="10">
        <v>0.17492711370262393</v>
      </c>
    </row>
    <row r="180" spans="1:5" ht="15.6" x14ac:dyDescent="0.3">
      <c r="A180" s="21" t="s">
        <v>13</v>
      </c>
      <c r="B180" s="22">
        <v>29</v>
      </c>
      <c r="C180" s="23">
        <v>7.6923076923076927E-2</v>
      </c>
      <c r="D180" s="24">
        <v>44</v>
      </c>
      <c r="E180" s="25">
        <v>0.1282798833819242</v>
      </c>
    </row>
    <row r="181" spans="1:5" ht="17.399999999999999" customHeight="1" x14ac:dyDescent="0.3">
      <c r="A181" s="31" t="s">
        <v>4</v>
      </c>
      <c r="B181" s="35">
        <f>SUBTOTAL(109,Table25[Pre Count])</f>
        <v>377</v>
      </c>
      <c r="C181" s="36">
        <f>SUBTOTAL(109,Table25[Pre Count %])</f>
        <v>1</v>
      </c>
      <c r="D181" s="37">
        <f>SUBTOTAL(109,Table25[Post Count])</f>
        <v>343</v>
      </c>
      <c r="E181" s="34">
        <f>SUBTOTAL(109,Table25[Post Count %])</f>
        <v>1</v>
      </c>
    </row>
    <row r="182" spans="1:5" ht="15" x14ac:dyDescent="0.3">
      <c r="A182" s="15"/>
      <c r="B182" s="7"/>
      <c r="C182" s="8"/>
      <c r="D182" s="9"/>
      <c r="E182" s="10"/>
    </row>
    <row r="183" spans="1:5" ht="15" x14ac:dyDescent="0.3">
      <c r="A183" s="45" t="s">
        <v>307</v>
      </c>
      <c r="B183" s="45"/>
      <c r="C183" s="45"/>
      <c r="D183" s="45"/>
      <c r="E183" s="45"/>
    </row>
    <row r="184" spans="1:5" ht="15.6" x14ac:dyDescent="0.3">
      <c r="A184" s="11" t="s">
        <v>278</v>
      </c>
      <c r="B184" s="11" t="s">
        <v>274</v>
      </c>
      <c r="C184" s="11" t="s">
        <v>277</v>
      </c>
      <c r="D184" s="11" t="s">
        <v>275</v>
      </c>
      <c r="E184" s="11" t="s">
        <v>276</v>
      </c>
    </row>
    <row r="185" spans="1:5" ht="15.6" x14ac:dyDescent="0.3">
      <c r="A185" s="1" t="s">
        <v>9</v>
      </c>
      <c r="B185" s="7">
        <v>9</v>
      </c>
      <c r="C185" s="8">
        <v>2.3872679045092837E-2</v>
      </c>
      <c r="D185" s="9">
        <v>6</v>
      </c>
      <c r="E185" s="10">
        <v>1.7492711370262391E-2</v>
      </c>
    </row>
    <row r="186" spans="1:5" ht="15.6" x14ac:dyDescent="0.3">
      <c r="A186" s="1" t="s">
        <v>10</v>
      </c>
      <c r="B186" s="7">
        <v>18</v>
      </c>
      <c r="C186" s="8">
        <v>4.7745358090185673E-2</v>
      </c>
      <c r="D186" s="9">
        <v>6</v>
      </c>
      <c r="E186" s="10">
        <v>1.7492711370262391E-2</v>
      </c>
    </row>
    <row r="187" spans="1:5" ht="15.6" x14ac:dyDescent="0.3">
      <c r="A187" s="1" t="s">
        <v>11</v>
      </c>
      <c r="B187" s="7">
        <v>275</v>
      </c>
      <c r="C187" s="8">
        <v>0.72944297082228116</v>
      </c>
      <c r="D187" s="9">
        <v>251</v>
      </c>
      <c r="E187" s="10">
        <v>0.73177842565597673</v>
      </c>
    </row>
    <row r="188" spans="1:5" ht="15.6" x14ac:dyDescent="0.3">
      <c r="A188" s="1" t="s">
        <v>12</v>
      </c>
      <c r="B188" s="7">
        <v>49</v>
      </c>
      <c r="C188" s="8">
        <v>0.129973474801061</v>
      </c>
      <c r="D188" s="9">
        <v>39</v>
      </c>
      <c r="E188" s="10">
        <v>0.11370262390670555</v>
      </c>
    </row>
    <row r="189" spans="1:5" ht="15.6" x14ac:dyDescent="0.3">
      <c r="A189" s="21" t="s">
        <v>13</v>
      </c>
      <c r="B189" s="22">
        <v>26</v>
      </c>
      <c r="C189" s="23">
        <v>6.8965517241379309E-2</v>
      </c>
      <c r="D189" s="24">
        <v>41</v>
      </c>
      <c r="E189" s="25">
        <v>0.119533527696793</v>
      </c>
    </row>
    <row r="190" spans="1:5" ht="15.6" x14ac:dyDescent="0.3">
      <c r="A190" s="31" t="s">
        <v>4</v>
      </c>
      <c r="B190" s="35">
        <f>SUBTOTAL(109,Table26[Pre Count])</f>
        <v>377</v>
      </c>
      <c r="C190" s="36">
        <f>SUBTOTAL(109,Table26[Pre Count %])</f>
        <v>1</v>
      </c>
      <c r="D190" s="37">
        <f>SUBTOTAL(109,Table26[Post Count])</f>
        <v>343</v>
      </c>
      <c r="E190" s="34">
        <f>SUBTOTAL(109,Table26[Post Count %])</f>
        <v>1</v>
      </c>
    </row>
    <row r="191" spans="1:5" ht="15" x14ac:dyDescent="0.3">
      <c r="A191" s="15"/>
      <c r="B191" s="7"/>
      <c r="C191" s="8"/>
      <c r="D191" s="9"/>
      <c r="E191" s="10"/>
    </row>
    <row r="192" spans="1:5" ht="15" x14ac:dyDescent="0.3">
      <c r="A192" s="45" t="s">
        <v>308</v>
      </c>
      <c r="B192" s="45"/>
      <c r="C192" s="45"/>
      <c r="D192" s="45"/>
      <c r="E192" s="45"/>
    </row>
    <row r="193" spans="1:5" ht="15.6" x14ac:dyDescent="0.3">
      <c r="A193" s="11" t="s">
        <v>278</v>
      </c>
      <c r="B193" s="11" t="s">
        <v>274</v>
      </c>
      <c r="C193" s="11" t="s">
        <v>277</v>
      </c>
      <c r="D193" s="11" t="s">
        <v>275</v>
      </c>
      <c r="E193" s="11" t="s">
        <v>276</v>
      </c>
    </row>
    <row r="194" spans="1:5" ht="15.6" x14ac:dyDescent="0.3">
      <c r="A194" s="1" t="s">
        <v>9</v>
      </c>
      <c r="B194" s="7">
        <v>6</v>
      </c>
      <c r="C194" s="8">
        <v>1.5915119363395226E-2</v>
      </c>
      <c r="D194" s="9">
        <v>6</v>
      </c>
      <c r="E194" s="10">
        <v>1.7492711370262391E-2</v>
      </c>
    </row>
    <row r="195" spans="1:5" ht="15.6" x14ac:dyDescent="0.3">
      <c r="A195" s="1" t="s">
        <v>10</v>
      </c>
      <c r="B195" s="7">
        <v>20</v>
      </c>
      <c r="C195" s="8">
        <v>5.3050397877984087E-2</v>
      </c>
      <c r="D195" s="9">
        <v>3</v>
      </c>
      <c r="E195" s="10">
        <v>8.7463556851311956E-3</v>
      </c>
    </row>
    <row r="196" spans="1:5" ht="15.6" x14ac:dyDescent="0.3">
      <c r="A196" s="1" t="s">
        <v>11</v>
      </c>
      <c r="B196" s="7">
        <v>264</v>
      </c>
      <c r="C196" s="8">
        <v>0.70026525198938994</v>
      </c>
      <c r="D196" s="9">
        <v>228</v>
      </c>
      <c r="E196" s="10">
        <v>0.66472303206997085</v>
      </c>
    </row>
    <row r="197" spans="1:5" ht="15.6" x14ac:dyDescent="0.3">
      <c r="A197" s="1" t="s">
        <v>12</v>
      </c>
      <c r="B197" s="7">
        <v>54</v>
      </c>
      <c r="C197" s="8">
        <v>0.14323607427055704</v>
      </c>
      <c r="D197" s="9">
        <v>64</v>
      </c>
      <c r="E197" s="10">
        <v>0.18658892128279883</v>
      </c>
    </row>
    <row r="198" spans="1:5" ht="15.6" x14ac:dyDescent="0.3">
      <c r="A198" s="21" t="s">
        <v>13</v>
      </c>
      <c r="B198" s="22">
        <v>33</v>
      </c>
      <c r="C198" s="23">
        <v>8.7533156498673742E-2</v>
      </c>
      <c r="D198" s="24">
        <v>42</v>
      </c>
      <c r="E198" s="25">
        <v>0.12244897959183673</v>
      </c>
    </row>
    <row r="199" spans="1:5" ht="15.6" x14ac:dyDescent="0.3">
      <c r="A199" s="31" t="s">
        <v>4</v>
      </c>
      <c r="B199" s="35">
        <f>SUBTOTAL(109,Table27[Pre Count])</f>
        <v>377</v>
      </c>
      <c r="C199" s="36">
        <f>SUBTOTAL(109,Table27[Pre Count %])</f>
        <v>1</v>
      </c>
      <c r="D199" s="37">
        <f>SUBTOTAL(109,Table27[Post Count])</f>
        <v>343</v>
      </c>
      <c r="E199" s="34">
        <f>SUBTOTAL(109,Table27[Post Count %])</f>
        <v>1</v>
      </c>
    </row>
    <row r="200" spans="1:5" ht="15" x14ac:dyDescent="0.3">
      <c r="A200" s="15"/>
      <c r="B200" s="7"/>
      <c r="C200" s="8"/>
      <c r="D200" s="9"/>
      <c r="E200" s="10"/>
    </row>
    <row r="201" spans="1:5" ht="15" x14ac:dyDescent="0.3">
      <c r="A201" s="45" t="s">
        <v>309</v>
      </c>
      <c r="B201" s="45"/>
      <c r="C201" s="45"/>
      <c r="D201" s="45"/>
      <c r="E201" s="45"/>
    </row>
    <row r="202" spans="1:5" ht="15.6" x14ac:dyDescent="0.3">
      <c r="A202" s="11" t="s">
        <v>278</v>
      </c>
      <c r="B202" s="11" t="s">
        <v>274</v>
      </c>
      <c r="C202" s="11" t="s">
        <v>277</v>
      </c>
      <c r="D202" s="11" t="s">
        <v>275</v>
      </c>
      <c r="E202" s="11" t="s">
        <v>276</v>
      </c>
    </row>
    <row r="203" spans="1:5" ht="15" x14ac:dyDescent="0.3">
      <c r="A203" s="1" t="s">
        <v>14</v>
      </c>
      <c r="B203" s="7">
        <v>1</v>
      </c>
      <c r="C203" s="8">
        <v>2.6525198938992041E-3</v>
      </c>
      <c r="D203" s="9">
        <v>4</v>
      </c>
      <c r="E203" s="10">
        <v>1.1661807580174927E-2</v>
      </c>
    </row>
    <row r="204" spans="1:5" ht="15" x14ac:dyDescent="0.3">
      <c r="A204" s="1" t="s">
        <v>15</v>
      </c>
      <c r="B204" s="7">
        <v>14</v>
      </c>
      <c r="C204" s="8">
        <v>3.7135278514588858E-2</v>
      </c>
      <c r="D204" s="9">
        <v>4</v>
      </c>
      <c r="E204" s="10">
        <v>1.1661807580174927E-2</v>
      </c>
    </row>
    <row r="205" spans="1:5" ht="15" x14ac:dyDescent="0.3">
      <c r="A205" s="1" t="s">
        <v>16</v>
      </c>
      <c r="B205" s="7">
        <v>56</v>
      </c>
      <c r="C205" s="8">
        <v>0.14854111405835543</v>
      </c>
      <c r="D205" s="9">
        <v>14</v>
      </c>
      <c r="E205" s="10">
        <v>4.0816326530612249E-2</v>
      </c>
    </row>
    <row r="206" spans="1:5" ht="15" x14ac:dyDescent="0.3">
      <c r="A206" s="1" t="s">
        <v>17</v>
      </c>
      <c r="B206" s="7">
        <v>208</v>
      </c>
      <c r="C206" s="8">
        <v>0.55172413793103448</v>
      </c>
      <c r="D206" s="9">
        <v>143</v>
      </c>
      <c r="E206" s="10">
        <v>0.41690962099125367</v>
      </c>
    </row>
    <row r="207" spans="1:5" ht="15" x14ac:dyDescent="0.3">
      <c r="A207" s="21" t="s">
        <v>18</v>
      </c>
      <c r="B207" s="22">
        <v>98</v>
      </c>
      <c r="C207" s="23">
        <v>0.259946949602122</v>
      </c>
      <c r="D207" s="24">
        <v>178</v>
      </c>
      <c r="E207" s="25">
        <v>0.51895043731778423</v>
      </c>
    </row>
    <row r="208" spans="1:5" ht="15.6" x14ac:dyDescent="0.3">
      <c r="A208" s="31" t="s">
        <v>4</v>
      </c>
      <c r="B208" s="35">
        <f>SUBTOTAL(109,Table28[Pre Count])</f>
        <v>377</v>
      </c>
      <c r="C208" s="36">
        <f>SUBTOTAL(109,Table28[Pre Count %])</f>
        <v>1</v>
      </c>
      <c r="D208" s="37">
        <f>SUBTOTAL(109,Table28[Post Count])</f>
        <v>343</v>
      </c>
      <c r="E208" s="34">
        <f>SUBTOTAL(109,Table28[Post Count %])</f>
        <v>1</v>
      </c>
    </row>
    <row r="209" spans="1:5" ht="15" x14ac:dyDescent="0.3">
      <c r="A209" s="15"/>
      <c r="B209" s="7"/>
      <c r="C209" s="8"/>
      <c r="D209" s="9"/>
      <c r="E209" s="10"/>
    </row>
    <row r="210" spans="1:5" ht="15" x14ac:dyDescent="0.3">
      <c r="A210" s="45" t="s">
        <v>310</v>
      </c>
      <c r="B210" s="45"/>
      <c r="C210" s="45"/>
      <c r="D210" s="45"/>
      <c r="E210" s="45"/>
    </row>
    <row r="211" spans="1:5" ht="15.6" x14ac:dyDescent="0.3">
      <c r="A211" s="11" t="s">
        <v>278</v>
      </c>
      <c r="B211" s="11" t="s">
        <v>274</v>
      </c>
      <c r="C211" s="11" t="s">
        <v>277</v>
      </c>
      <c r="D211" s="11" t="s">
        <v>275</v>
      </c>
      <c r="E211" s="11" t="s">
        <v>276</v>
      </c>
    </row>
    <row r="212" spans="1:5" ht="15.6" x14ac:dyDescent="0.3">
      <c r="A212" s="1" t="s">
        <v>14</v>
      </c>
      <c r="B212" s="7">
        <v>8</v>
      </c>
      <c r="C212" s="8">
        <v>2.1220159151193633E-2</v>
      </c>
      <c r="D212" s="9">
        <v>7</v>
      </c>
      <c r="E212" s="10">
        <v>2.0408163265306124E-2</v>
      </c>
    </row>
    <row r="213" spans="1:5" ht="15.6" x14ac:dyDescent="0.3">
      <c r="A213" s="1" t="s">
        <v>15</v>
      </c>
      <c r="B213" s="7">
        <v>19</v>
      </c>
      <c r="C213" s="8">
        <v>5.0397877984084884E-2</v>
      </c>
      <c r="D213" s="9">
        <v>6</v>
      </c>
      <c r="E213" s="10">
        <v>1.7492711370262391E-2</v>
      </c>
    </row>
    <row r="214" spans="1:5" ht="15.6" x14ac:dyDescent="0.3">
      <c r="A214" s="1" t="s">
        <v>16</v>
      </c>
      <c r="B214" s="7">
        <v>50</v>
      </c>
      <c r="C214" s="8">
        <v>0.13262599469496023</v>
      </c>
      <c r="D214" s="9">
        <v>20</v>
      </c>
      <c r="E214" s="10">
        <v>5.8309037900874633E-2</v>
      </c>
    </row>
    <row r="215" spans="1:5" ht="15.6" x14ac:dyDescent="0.3">
      <c r="A215" s="1" t="s">
        <v>17</v>
      </c>
      <c r="B215" s="7">
        <v>176</v>
      </c>
      <c r="C215" s="8">
        <v>0.46684350132625996</v>
      </c>
      <c r="D215" s="9">
        <v>140</v>
      </c>
      <c r="E215" s="10">
        <v>0.40816326530612246</v>
      </c>
    </row>
    <row r="216" spans="1:5" ht="15.6" x14ac:dyDescent="0.3">
      <c r="A216" s="21" t="s">
        <v>18</v>
      </c>
      <c r="B216" s="22">
        <v>124</v>
      </c>
      <c r="C216" s="23">
        <v>0.32891246684350134</v>
      </c>
      <c r="D216" s="24">
        <v>170</v>
      </c>
      <c r="E216" s="25">
        <v>0.49562682215743442</v>
      </c>
    </row>
    <row r="217" spans="1:5" ht="15.6" x14ac:dyDescent="0.3">
      <c r="A217" s="31" t="s">
        <v>4</v>
      </c>
      <c r="B217" s="35">
        <f>SUBTOTAL(109,Table29[Pre Count])</f>
        <v>377</v>
      </c>
      <c r="C217" s="36">
        <f>SUBTOTAL(109,Table29[Pre Count %])</f>
        <v>1</v>
      </c>
      <c r="D217" s="37">
        <f>SUBTOTAL(109,Table29[Post Count])</f>
        <v>343</v>
      </c>
      <c r="E217" s="34">
        <f>SUBTOTAL(109,Table29[Post Count %])</f>
        <v>1</v>
      </c>
    </row>
    <row r="218" spans="1:5" ht="15" x14ac:dyDescent="0.3">
      <c r="A218" s="15"/>
      <c r="B218" s="7"/>
      <c r="C218" s="8"/>
      <c r="D218" s="9"/>
      <c r="E218" s="10"/>
    </row>
    <row r="219" spans="1:5" ht="15" x14ac:dyDescent="0.3">
      <c r="A219" s="45" t="s">
        <v>311</v>
      </c>
      <c r="B219" s="45"/>
      <c r="C219" s="45"/>
      <c r="D219" s="45"/>
      <c r="E219" s="45"/>
    </row>
    <row r="220" spans="1:5" ht="15.6" x14ac:dyDescent="0.3">
      <c r="A220" s="11" t="s">
        <v>278</v>
      </c>
      <c r="B220" s="11" t="s">
        <v>274</v>
      </c>
      <c r="C220" s="11" t="s">
        <v>277</v>
      </c>
      <c r="D220" s="11" t="s">
        <v>275</v>
      </c>
      <c r="E220" s="11" t="s">
        <v>276</v>
      </c>
    </row>
    <row r="221" spans="1:5" ht="15.6" x14ac:dyDescent="0.3">
      <c r="A221" s="1" t="s">
        <v>14</v>
      </c>
      <c r="B221" s="7">
        <v>3</v>
      </c>
      <c r="C221" s="8">
        <v>7.9575596816976128E-3</v>
      </c>
      <c r="D221" s="9">
        <v>4</v>
      </c>
      <c r="E221" s="10">
        <v>1.1661807580174927E-2</v>
      </c>
    </row>
    <row r="222" spans="1:5" ht="15.6" x14ac:dyDescent="0.3">
      <c r="A222" s="1" t="s">
        <v>15</v>
      </c>
      <c r="B222" s="7">
        <v>15</v>
      </c>
      <c r="C222" s="8">
        <v>3.9787798408488062E-2</v>
      </c>
      <c r="D222" s="9">
        <v>8</v>
      </c>
      <c r="E222" s="10">
        <v>2.3323615160349854E-2</v>
      </c>
    </row>
    <row r="223" spans="1:5" ht="15.6" x14ac:dyDescent="0.3">
      <c r="A223" s="1" t="s">
        <v>16</v>
      </c>
      <c r="B223" s="7">
        <v>84</v>
      </c>
      <c r="C223" s="8">
        <v>0.22281167108753316</v>
      </c>
      <c r="D223" s="9">
        <v>21</v>
      </c>
      <c r="E223" s="10">
        <v>6.1224489795918366E-2</v>
      </c>
    </row>
    <row r="224" spans="1:5" ht="15.6" x14ac:dyDescent="0.3">
      <c r="A224" s="1" t="s">
        <v>17</v>
      </c>
      <c r="B224" s="7">
        <v>171</v>
      </c>
      <c r="C224" s="8">
        <v>0.45358090185676386</v>
      </c>
      <c r="D224" s="9">
        <v>136</v>
      </c>
      <c r="E224" s="10">
        <v>0.39650145772594753</v>
      </c>
    </row>
    <row r="225" spans="1:5" ht="15.6" x14ac:dyDescent="0.3">
      <c r="A225" s="21" t="s">
        <v>18</v>
      </c>
      <c r="B225" s="22">
        <v>104</v>
      </c>
      <c r="C225" s="23">
        <v>0.27586206896551724</v>
      </c>
      <c r="D225" s="24">
        <v>174</v>
      </c>
      <c r="E225" s="25">
        <v>0.50728862973760935</v>
      </c>
    </row>
    <row r="226" spans="1:5" ht="15.6" x14ac:dyDescent="0.3">
      <c r="A226" s="31" t="s">
        <v>4</v>
      </c>
      <c r="B226" s="35">
        <f>SUBTOTAL(109,Table30[Pre Count])</f>
        <v>377</v>
      </c>
      <c r="C226" s="36">
        <f>SUBTOTAL(109,Table30[Pre Count %])</f>
        <v>0.99999999999999989</v>
      </c>
      <c r="D226" s="37">
        <f>SUBTOTAL(109,Table30[Post Count])</f>
        <v>343</v>
      </c>
      <c r="E226" s="34">
        <f>SUBTOTAL(109,Table30[Post Count %])</f>
        <v>1</v>
      </c>
    </row>
    <row r="227" spans="1:5" ht="15" x14ac:dyDescent="0.3">
      <c r="A227" s="15"/>
      <c r="B227" s="7"/>
      <c r="C227" s="8"/>
      <c r="D227" s="9"/>
      <c r="E227" s="10"/>
    </row>
    <row r="228" spans="1:5" ht="15" x14ac:dyDescent="0.3">
      <c r="A228" s="45" t="s">
        <v>312</v>
      </c>
      <c r="B228" s="45"/>
      <c r="C228" s="45"/>
      <c r="D228" s="45"/>
      <c r="E228" s="45"/>
    </row>
    <row r="229" spans="1:5" ht="15.6" x14ac:dyDescent="0.3">
      <c r="A229" s="11" t="s">
        <v>278</v>
      </c>
      <c r="B229" s="11" t="s">
        <v>274</v>
      </c>
      <c r="C229" s="11" t="s">
        <v>277</v>
      </c>
      <c r="D229" s="11" t="s">
        <v>275</v>
      </c>
      <c r="E229" s="11" t="s">
        <v>276</v>
      </c>
    </row>
    <row r="230" spans="1:5" ht="15.6" x14ac:dyDescent="0.3">
      <c r="A230" s="1" t="s">
        <v>14</v>
      </c>
      <c r="B230" s="7">
        <v>9</v>
      </c>
      <c r="C230" s="8">
        <v>2.3872679045092837E-2</v>
      </c>
      <c r="D230" s="9">
        <v>4</v>
      </c>
      <c r="E230" s="10">
        <v>1.1661807580174927E-2</v>
      </c>
    </row>
    <row r="231" spans="1:5" ht="15.6" x14ac:dyDescent="0.3">
      <c r="A231" s="1" t="s">
        <v>15</v>
      </c>
      <c r="B231" s="7">
        <v>32</v>
      </c>
      <c r="C231" s="8">
        <v>8.4880636604774531E-2</v>
      </c>
      <c r="D231" s="9">
        <v>12</v>
      </c>
      <c r="E231" s="10">
        <v>3.4985422740524783E-2</v>
      </c>
    </row>
    <row r="232" spans="1:5" ht="15.6" x14ac:dyDescent="0.3">
      <c r="A232" s="1" t="s">
        <v>16</v>
      </c>
      <c r="B232" s="7">
        <v>140</v>
      </c>
      <c r="C232" s="8">
        <v>0.3713527851458886</v>
      </c>
      <c r="D232" s="9">
        <v>55</v>
      </c>
      <c r="E232" s="10">
        <v>0.16034985422740525</v>
      </c>
    </row>
    <row r="233" spans="1:5" ht="15.6" x14ac:dyDescent="0.3">
      <c r="A233" s="1" t="s">
        <v>17</v>
      </c>
      <c r="B233" s="7">
        <v>150</v>
      </c>
      <c r="C233" s="8">
        <v>0.39787798408488068</v>
      </c>
      <c r="D233" s="9">
        <v>146</v>
      </c>
      <c r="E233" s="10">
        <v>0.42565597667638483</v>
      </c>
    </row>
    <row r="234" spans="1:5" ht="15.6" x14ac:dyDescent="0.3">
      <c r="A234" s="21" t="s">
        <v>18</v>
      </c>
      <c r="B234" s="22">
        <v>46</v>
      </c>
      <c r="C234" s="23">
        <v>0.1220159151193634</v>
      </c>
      <c r="D234" s="24">
        <v>126</v>
      </c>
      <c r="E234" s="25">
        <v>0.36734693877551022</v>
      </c>
    </row>
    <row r="235" spans="1:5" ht="15.6" x14ac:dyDescent="0.3">
      <c r="A235" s="31" t="s">
        <v>4</v>
      </c>
      <c r="B235" s="35">
        <f>SUBTOTAL(109,Table31[Pre Count])</f>
        <v>377</v>
      </c>
      <c r="C235" s="36">
        <f>SUBTOTAL(109,Table31[Pre Count %])</f>
        <v>1</v>
      </c>
      <c r="D235" s="37">
        <f>SUBTOTAL(109,Table31[Post Count])</f>
        <v>343</v>
      </c>
      <c r="E235" s="34">
        <f>SUBTOTAL(109,Table31[Post Count %])</f>
        <v>1</v>
      </c>
    </row>
    <row r="236" spans="1:5" ht="15" x14ac:dyDescent="0.3">
      <c r="A236" s="15"/>
      <c r="B236" s="7"/>
      <c r="C236" s="8"/>
      <c r="D236" s="9"/>
      <c r="E236" s="10"/>
    </row>
    <row r="237" spans="1:5" ht="15" x14ac:dyDescent="0.3">
      <c r="A237" s="45" t="s">
        <v>313</v>
      </c>
      <c r="B237" s="45"/>
      <c r="C237" s="45"/>
      <c r="D237" s="45"/>
      <c r="E237" s="45"/>
    </row>
    <row r="238" spans="1:5" ht="15.6" x14ac:dyDescent="0.3">
      <c r="A238" s="11" t="s">
        <v>278</v>
      </c>
      <c r="B238" s="11" t="s">
        <v>274</v>
      </c>
      <c r="C238" s="11" t="s">
        <v>277</v>
      </c>
      <c r="D238" s="11" t="s">
        <v>275</v>
      </c>
      <c r="E238" s="11" t="s">
        <v>276</v>
      </c>
    </row>
    <row r="239" spans="1:5" ht="15.6" x14ac:dyDescent="0.3">
      <c r="A239" s="1" t="s">
        <v>14</v>
      </c>
      <c r="B239" s="7">
        <v>9</v>
      </c>
      <c r="C239" s="8">
        <v>2.3872679045092837E-2</v>
      </c>
      <c r="D239" s="9">
        <v>10</v>
      </c>
      <c r="E239" s="10">
        <v>2.9154518950437316E-2</v>
      </c>
    </row>
    <row r="240" spans="1:5" ht="15.6" x14ac:dyDescent="0.3">
      <c r="A240" s="1" t="s">
        <v>15</v>
      </c>
      <c r="B240" s="7">
        <v>43</v>
      </c>
      <c r="C240" s="8">
        <v>0.11405835543766578</v>
      </c>
      <c r="D240" s="9">
        <v>69</v>
      </c>
      <c r="E240" s="10">
        <v>0.20116618075801751</v>
      </c>
    </row>
    <row r="241" spans="1:5" ht="15.6" x14ac:dyDescent="0.3">
      <c r="A241" s="1" t="s">
        <v>16</v>
      </c>
      <c r="B241" s="7">
        <v>177</v>
      </c>
      <c r="C241" s="8">
        <v>0.46949602122015915</v>
      </c>
      <c r="D241" s="9">
        <v>184</v>
      </c>
      <c r="E241" s="10">
        <v>0.53644314868804666</v>
      </c>
    </row>
    <row r="242" spans="1:5" ht="15.6" x14ac:dyDescent="0.3">
      <c r="A242" s="1" t="s">
        <v>17</v>
      </c>
      <c r="B242" s="7">
        <v>110</v>
      </c>
      <c r="C242" s="8">
        <v>0.29177718832891247</v>
      </c>
      <c r="D242" s="9">
        <v>52</v>
      </c>
      <c r="E242" s="10">
        <v>0.15160349854227406</v>
      </c>
    </row>
    <row r="243" spans="1:5" ht="15.6" x14ac:dyDescent="0.3">
      <c r="A243" s="21" t="s">
        <v>18</v>
      </c>
      <c r="B243" s="22">
        <v>38</v>
      </c>
      <c r="C243" s="23">
        <v>0.10079575596816977</v>
      </c>
      <c r="D243" s="24">
        <v>28</v>
      </c>
      <c r="E243" s="25">
        <v>8.1632653061224497E-2</v>
      </c>
    </row>
    <row r="244" spans="1:5" ht="15.6" x14ac:dyDescent="0.3">
      <c r="A244" s="31" t="s">
        <v>4</v>
      </c>
      <c r="B244" s="35">
        <f>SUBTOTAL(109,Table32[Pre Count])</f>
        <v>377</v>
      </c>
      <c r="C244" s="36">
        <f>SUBTOTAL(109,Table32[Pre Count %])</f>
        <v>1</v>
      </c>
      <c r="D244" s="37">
        <f>SUBTOTAL(109,Table32[Post Count])</f>
        <v>343</v>
      </c>
      <c r="E244" s="34">
        <f>SUBTOTAL(109,Table32[Post Count %])</f>
        <v>1</v>
      </c>
    </row>
    <row r="245" spans="1:5" ht="15" x14ac:dyDescent="0.3">
      <c r="A245" s="15"/>
      <c r="B245" s="7"/>
      <c r="C245" s="8"/>
      <c r="D245" s="9"/>
      <c r="E245" s="10"/>
    </row>
    <row r="246" spans="1:5" ht="15" x14ac:dyDescent="0.3">
      <c r="A246" s="45" t="s">
        <v>314</v>
      </c>
      <c r="B246" s="45"/>
      <c r="C246" s="45"/>
      <c r="D246" s="45"/>
      <c r="E246" s="45"/>
    </row>
    <row r="247" spans="1:5" ht="15.6" x14ac:dyDescent="0.3">
      <c r="A247" s="11" t="s">
        <v>278</v>
      </c>
      <c r="B247" s="11" t="s">
        <v>274</v>
      </c>
      <c r="C247" s="11" t="s">
        <v>277</v>
      </c>
      <c r="D247" s="11" t="s">
        <v>275</v>
      </c>
      <c r="E247" s="11" t="s">
        <v>276</v>
      </c>
    </row>
    <row r="248" spans="1:5" ht="15.6" x14ac:dyDescent="0.3">
      <c r="A248" s="1" t="s">
        <v>14</v>
      </c>
      <c r="B248" s="7">
        <v>29</v>
      </c>
      <c r="C248" s="8">
        <v>7.6923076923076927E-2</v>
      </c>
      <c r="D248" s="9">
        <v>21</v>
      </c>
      <c r="E248" s="10">
        <v>6.1224489795918366E-2</v>
      </c>
    </row>
    <row r="249" spans="1:5" ht="15.6" x14ac:dyDescent="0.3">
      <c r="A249" s="1" t="s">
        <v>15</v>
      </c>
      <c r="B249" s="7">
        <v>32</v>
      </c>
      <c r="C249" s="8">
        <v>8.4880636604774531E-2</v>
      </c>
      <c r="D249" s="9">
        <v>61</v>
      </c>
      <c r="E249" s="10">
        <v>0.17784256559766765</v>
      </c>
    </row>
    <row r="250" spans="1:5" ht="15.6" x14ac:dyDescent="0.3">
      <c r="A250" s="1" t="s">
        <v>16</v>
      </c>
      <c r="B250" s="7">
        <v>162</v>
      </c>
      <c r="C250" s="8">
        <v>0.42970822281167109</v>
      </c>
      <c r="D250" s="9">
        <v>169</v>
      </c>
      <c r="E250" s="10">
        <v>0.49271137026239065</v>
      </c>
    </row>
    <row r="251" spans="1:5" ht="15.6" x14ac:dyDescent="0.3">
      <c r="A251" s="1" t="s">
        <v>17</v>
      </c>
      <c r="B251" s="7">
        <v>113</v>
      </c>
      <c r="C251" s="8">
        <v>0.29973474801061006</v>
      </c>
      <c r="D251" s="9">
        <v>64</v>
      </c>
      <c r="E251" s="10">
        <v>0.18658892128279883</v>
      </c>
    </row>
    <row r="252" spans="1:5" ht="15.6" x14ac:dyDescent="0.3">
      <c r="A252" s="21" t="s">
        <v>18</v>
      </c>
      <c r="B252" s="22">
        <v>41</v>
      </c>
      <c r="C252" s="23">
        <v>0.10875331564986737</v>
      </c>
      <c r="D252" s="24">
        <v>28</v>
      </c>
      <c r="E252" s="25">
        <v>8.1632653061224497E-2</v>
      </c>
    </row>
    <row r="253" spans="1:5" ht="15.6" x14ac:dyDescent="0.3">
      <c r="A253" s="31" t="s">
        <v>4</v>
      </c>
      <c r="B253" s="35">
        <f>SUBTOTAL(109,Table33[Pre Count])</f>
        <v>377</v>
      </c>
      <c r="C253" s="36">
        <f>SUBTOTAL(109,Table33[Pre Count %])</f>
        <v>0.99999999999999989</v>
      </c>
      <c r="D253" s="37">
        <f>SUBTOTAL(109,Table33[Post Count])</f>
        <v>343</v>
      </c>
      <c r="E253" s="34">
        <f>SUBTOTAL(109,Table33[Post Count %])</f>
        <v>1</v>
      </c>
    </row>
    <row r="254" spans="1:5" ht="15" x14ac:dyDescent="0.3">
      <c r="A254" s="15"/>
      <c r="B254" s="7"/>
      <c r="C254" s="8"/>
      <c r="D254" s="9"/>
      <c r="E254" s="10"/>
    </row>
    <row r="255" spans="1:5" ht="15" x14ac:dyDescent="0.3">
      <c r="A255" s="45" t="s">
        <v>315</v>
      </c>
      <c r="B255" s="45"/>
      <c r="C255" s="45"/>
      <c r="D255" s="45"/>
      <c r="E255" s="45"/>
    </row>
    <row r="256" spans="1:5" ht="15.6" x14ac:dyDescent="0.3">
      <c r="A256" s="11" t="s">
        <v>278</v>
      </c>
      <c r="B256" s="11" t="s">
        <v>274</v>
      </c>
      <c r="C256" s="11" t="s">
        <v>277</v>
      </c>
      <c r="D256" s="11" t="s">
        <v>275</v>
      </c>
      <c r="E256" s="11" t="s">
        <v>276</v>
      </c>
    </row>
    <row r="257" spans="1:5" ht="15.6" x14ac:dyDescent="0.3">
      <c r="A257" s="1" t="s">
        <v>14</v>
      </c>
      <c r="B257" s="7">
        <v>11</v>
      </c>
      <c r="C257" s="8">
        <v>2.9177718832891247E-2</v>
      </c>
      <c r="D257" s="9">
        <v>10</v>
      </c>
      <c r="E257" s="10">
        <v>2.9154518950437316E-2</v>
      </c>
    </row>
    <row r="258" spans="1:5" ht="15.6" x14ac:dyDescent="0.3">
      <c r="A258" s="1" t="s">
        <v>15</v>
      </c>
      <c r="B258" s="7">
        <v>31</v>
      </c>
      <c r="C258" s="8">
        <v>8.2228116710875335E-2</v>
      </c>
      <c r="D258" s="9">
        <v>15</v>
      </c>
      <c r="E258" s="10">
        <v>4.3731778425655982E-2</v>
      </c>
    </row>
    <row r="259" spans="1:5" ht="15.6" x14ac:dyDescent="0.3">
      <c r="A259" s="1" t="s">
        <v>16</v>
      </c>
      <c r="B259" s="7">
        <v>123</v>
      </c>
      <c r="C259" s="8">
        <v>0.32625994694960214</v>
      </c>
      <c r="D259" s="9">
        <v>40</v>
      </c>
      <c r="E259" s="10">
        <v>0.11661807580174927</v>
      </c>
    </row>
    <row r="260" spans="1:5" ht="15.6" x14ac:dyDescent="0.3">
      <c r="A260" s="1" t="s">
        <v>17</v>
      </c>
      <c r="B260" s="7">
        <v>153</v>
      </c>
      <c r="C260" s="8">
        <v>0.40583554376657832</v>
      </c>
      <c r="D260" s="9">
        <v>169</v>
      </c>
      <c r="E260" s="10">
        <v>0.49271137026239065</v>
      </c>
    </row>
    <row r="261" spans="1:5" ht="15.6" x14ac:dyDescent="0.3">
      <c r="A261" s="21" t="s">
        <v>18</v>
      </c>
      <c r="B261" s="22">
        <v>59</v>
      </c>
      <c r="C261" s="23">
        <v>0.15649867374005305</v>
      </c>
      <c r="D261" s="24">
        <v>109</v>
      </c>
      <c r="E261" s="25">
        <v>0.31778425655976678</v>
      </c>
    </row>
    <row r="262" spans="1:5" ht="15.6" x14ac:dyDescent="0.3">
      <c r="A262" s="31" t="s">
        <v>4</v>
      </c>
      <c r="B262" s="35">
        <f>SUBTOTAL(109,Table34[Pre Count])</f>
        <v>377</v>
      </c>
      <c r="C262" s="36">
        <f>SUBTOTAL(109,Table34[Pre Count %])</f>
        <v>1.0000000000000002</v>
      </c>
      <c r="D262" s="37">
        <f>SUBTOTAL(109,Table34[Post Count])</f>
        <v>343</v>
      </c>
      <c r="E262" s="34">
        <f>SUBTOTAL(109,Table34[Post Count %])</f>
        <v>1</v>
      </c>
    </row>
    <row r="263" spans="1:5" ht="15" x14ac:dyDescent="0.3">
      <c r="A263" s="15"/>
      <c r="B263" s="7"/>
      <c r="C263" s="8"/>
      <c r="D263" s="9"/>
      <c r="E263" s="10"/>
    </row>
    <row r="264" spans="1:5" ht="15" x14ac:dyDescent="0.3">
      <c r="A264" s="45" t="s">
        <v>316</v>
      </c>
      <c r="B264" s="45"/>
      <c r="C264" s="45"/>
      <c r="D264" s="45"/>
      <c r="E264" s="45"/>
    </row>
    <row r="265" spans="1:5" ht="15.6" x14ac:dyDescent="0.3">
      <c r="A265" s="11" t="s">
        <v>278</v>
      </c>
      <c r="B265" s="11" t="s">
        <v>274</v>
      </c>
      <c r="C265" s="11" t="s">
        <v>277</v>
      </c>
      <c r="D265" s="11" t="s">
        <v>275</v>
      </c>
      <c r="E265" s="11" t="s">
        <v>276</v>
      </c>
    </row>
    <row r="266" spans="1:5" ht="15.6" x14ac:dyDescent="0.3">
      <c r="A266" s="1" t="s">
        <v>19</v>
      </c>
      <c r="B266" s="7">
        <v>13</v>
      </c>
      <c r="C266" s="8">
        <v>3.6312849162011177E-2</v>
      </c>
      <c r="D266" s="9">
        <v>6</v>
      </c>
      <c r="E266" s="10">
        <v>1.7964071856287425E-2</v>
      </c>
    </row>
    <row r="267" spans="1:5" ht="15.6" x14ac:dyDescent="0.3">
      <c r="A267" s="1" t="s">
        <v>15</v>
      </c>
      <c r="B267" s="7">
        <v>10</v>
      </c>
      <c r="C267" s="8">
        <v>2.7932960893854747E-2</v>
      </c>
      <c r="D267" s="9">
        <v>6</v>
      </c>
      <c r="E267" s="10">
        <v>1.7964071856287425E-2</v>
      </c>
    </row>
    <row r="268" spans="1:5" ht="15.6" x14ac:dyDescent="0.3">
      <c r="A268" s="1" t="s">
        <v>16</v>
      </c>
      <c r="B268" s="7">
        <v>35</v>
      </c>
      <c r="C268" s="8">
        <v>9.7765363128491614E-2</v>
      </c>
      <c r="D268" s="9">
        <v>12</v>
      </c>
      <c r="E268" s="10">
        <v>3.5928143712574849E-2</v>
      </c>
    </row>
    <row r="269" spans="1:5" ht="15.6" x14ac:dyDescent="0.3">
      <c r="A269" s="1" t="s">
        <v>17</v>
      </c>
      <c r="B269" s="7">
        <v>202</v>
      </c>
      <c r="C269" s="8">
        <v>0.56424581005586594</v>
      </c>
      <c r="D269" s="9">
        <v>150</v>
      </c>
      <c r="E269" s="10">
        <v>0.44910179640718562</v>
      </c>
    </row>
    <row r="270" spans="1:5" ht="15.6" x14ac:dyDescent="0.3">
      <c r="A270" s="21" t="s">
        <v>18</v>
      </c>
      <c r="B270" s="22">
        <v>98</v>
      </c>
      <c r="C270" s="23">
        <v>0.27374301675977653</v>
      </c>
      <c r="D270" s="24">
        <v>160</v>
      </c>
      <c r="E270" s="25">
        <v>0.47904191616766467</v>
      </c>
    </row>
    <row r="271" spans="1:5" ht="15.6" x14ac:dyDescent="0.3">
      <c r="A271" s="31" t="s">
        <v>4</v>
      </c>
      <c r="B271" s="35">
        <f>SUBTOTAL(109,Table35[Pre Count])</f>
        <v>358</v>
      </c>
      <c r="C271" s="36">
        <f>SUBTOTAL(109,Table35[Pre Count %])</f>
        <v>1</v>
      </c>
      <c r="D271" s="37">
        <f>SUBTOTAL(109,Table35[Post Count])</f>
        <v>334</v>
      </c>
      <c r="E271" s="34">
        <f>SUBTOTAL(109,Table35[Post Count %])</f>
        <v>1</v>
      </c>
    </row>
    <row r="272" spans="1:5" ht="15" x14ac:dyDescent="0.3">
      <c r="A272" s="15"/>
      <c r="B272" s="7"/>
      <c r="C272" s="8"/>
      <c r="D272" s="9"/>
      <c r="E272" s="10"/>
    </row>
    <row r="273" spans="1:5" ht="15" x14ac:dyDescent="0.3">
      <c r="A273" s="45" t="s">
        <v>317</v>
      </c>
      <c r="B273" s="45"/>
      <c r="C273" s="45"/>
      <c r="D273" s="45"/>
      <c r="E273" s="45"/>
    </row>
    <row r="274" spans="1:5" ht="15.6" x14ac:dyDescent="0.3">
      <c r="A274" s="11" t="s">
        <v>278</v>
      </c>
      <c r="B274" s="11" t="s">
        <v>274</v>
      </c>
      <c r="C274" s="11" t="s">
        <v>277</v>
      </c>
      <c r="D274" s="11" t="s">
        <v>275</v>
      </c>
      <c r="E274" s="11" t="s">
        <v>276</v>
      </c>
    </row>
    <row r="275" spans="1:5" ht="15.6" x14ac:dyDescent="0.3">
      <c r="A275" s="1" t="s">
        <v>19</v>
      </c>
      <c r="B275" s="7">
        <v>9</v>
      </c>
      <c r="C275" s="8">
        <v>2.5139664804469275E-2</v>
      </c>
      <c r="D275" s="9">
        <v>8</v>
      </c>
      <c r="E275" s="10">
        <v>2.3952095808383235E-2</v>
      </c>
    </row>
    <row r="276" spans="1:5" ht="15.6" x14ac:dyDescent="0.3">
      <c r="A276" s="1" t="s">
        <v>15</v>
      </c>
      <c r="B276" s="7">
        <v>11</v>
      </c>
      <c r="C276" s="8">
        <v>3.0726256983240222E-2</v>
      </c>
      <c r="D276" s="9">
        <v>5</v>
      </c>
      <c r="E276" s="10">
        <v>1.4970059880239521E-2</v>
      </c>
    </row>
    <row r="277" spans="1:5" ht="15.6" x14ac:dyDescent="0.3">
      <c r="A277" s="1" t="s">
        <v>16</v>
      </c>
      <c r="B277" s="7">
        <v>40</v>
      </c>
      <c r="C277" s="8">
        <v>0.11173184357541899</v>
      </c>
      <c r="D277" s="9">
        <v>9</v>
      </c>
      <c r="E277" s="10">
        <v>2.6946107784431138E-2</v>
      </c>
    </row>
    <row r="278" spans="1:5" ht="15.6" x14ac:dyDescent="0.3">
      <c r="A278" s="1" t="s">
        <v>17</v>
      </c>
      <c r="B278" s="7">
        <v>177</v>
      </c>
      <c r="C278" s="8">
        <v>0.49441340782122906</v>
      </c>
      <c r="D278" s="9">
        <v>154</v>
      </c>
      <c r="E278" s="10">
        <v>0.46107784431137733</v>
      </c>
    </row>
    <row r="279" spans="1:5" ht="15.6" x14ac:dyDescent="0.3">
      <c r="A279" s="21" t="s">
        <v>18</v>
      </c>
      <c r="B279" s="22">
        <v>121</v>
      </c>
      <c r="C279" s="23">
        <v>0.33798882681564246</v>
      </c>
      <c r="D279" s="24">
        <v>158</v>
      </c>
      <c r="E279" s="25">
        <v>0.47305389221556887</v>
      </c>
    </row>
    <row r="280" spans="1:5" ht="15.6" x14ac:dyDescent="0.3">
      <c r="A280" s="31" t="s">
        <v>4</v>
      </c>
      <c r="B280" s="35">
        <f>SUBTOTAL(109,Table36[Pre Count])</f>
        <v>358</v>
      </c>
      <c r="C280" s="36">
        <f>SUBTOTAL(109,Table36[Pre Count %])</f>
        <v>1</v>
      </c>
      <c r="D280" s="37">
        <f>SUBTOTAL(109,Table36[Post Count])</f>
        <v>334</v>
      </c>
      <c r="E280" s="34">
        <f>SUBTOTAL(109,Table36[Post Count %])</f>
        <v>1</v>
      </c>
    </row>
    <row r="281" spans="1:5" ht="15" x14ac:dyDescent="0.3">
      <c r="A281" s="15"/>
      <c r="B281" s="7"/>
      <c r="C281" s="8"/>
      <c r="D281" s="9"/>
      <c r="E281" s="10"/>
    </row>
    <row r="282" spans="1:5" ht="15" x14ac:dyDescent="0.3">
      <c r="A282" s="45" t="s">
        <v>318</v>
      </c>
      <c r="B282" s="45"/>
      <c r="C282" s="45"/>
      <c r="D282" s="45"/>
      <c r="E282" s="45"/>
    </row>
    <row r="283" spans="1:5" ht="15.6" x14ac:dyDescent="0.3">
      <c r="A283" s="11" t="s">
        <v>278</v>
      </c>
      <c r="B283" s="11" t="s">
        <v>274</v>
      </c>
      <c r="C283" s="11" t="s">
        <v>277</v>
      </c>
      <c r="D283" s="11" t="s">
        <v>275</v>
      </c>
      <c r="E283" s="11" t="s">
        <v>276</v>
      </c>
    </row>
    <row r="284" spans="1:5" ht="15.6" x14ac:dyDescent="0.3">
      <c r="A284" s="1" t="s">
        <v>19</v>
      </c>
      <c r="B284" s="7">
        <v>21</v>
      </c>
      <c r="C284" s="8">
        <v>5.8659217877094966E-2</v>
      </c>
      <c r="D284" s="9">
        <v>9</v>
      </c>
      <c r="E284" s="10">
        <v>2.6946107784431138E-2</v>
      </c>
    </row>
    <row r="285" spans="1:5" ht="15.6" x14ac:dyDescent="0.3">
      <c r="A285" s="1" t="s">
        <v>15</v>
      </c>
      <c r="B285" s="7">
        <v>20</v>
      </c>
      <c r="C285" s="8">
        <v>5.5865921787709494E-2</v>
      </c>
      <c r="D285" s="9">
        <v>8</v>
      </c>
      <c r="E285" s="10">
        <v>2.3952095808383235E-2</v>
      </c>
    </row>
    <row r="286" spans="1:5" ht="15.6" x14ac:dyDescent="0.3">
      <c r="A286" s="1" t="s">
        <v>16</v>
      </c>
      <c r="B286" s="7">
        <v>104</v>
      </c>
      <c r="C286" s="8">
        <v>0.29050279329608941</v>
      </c>
      <c r="D286" s="9">
        <v>38</v>
      </c>
      <c r="E286" s="10">
        <v>0.11377245508982035</v>
      </c>
    </row>
    <row r="287" spans="1:5" ht="15.6" x14ac:dyDescent="0.3">
      <c r="A287" s="1" t="s">
        <v>17</v>
      </c>
      <c r="B287" s="7">
        <v>152</v>
      </c>
      <c r="C287" s="8">
        <v>0.42458100558659218</v>
      </c>
      <c r="D287" s="9">
        <v>152</v>
      </c>
      <c r="E287" s="10">
        <v>0.45508982035928142</v>
      </c>
    </row>
    <row r="288" spans="1:5" ht="15.6" x14ac:dyDescent="0.3">
      <c r="A288" s="21" t="s">
        <v>18</v>
      </c>
      <c r="B288" s="22">
        <v>61</v>
      </c>
      <c r="C288" s="23">
        <v>0.17039106145251395</v>
      </c>
      <c r="D288" s="24">
        <v>127</v>
      </c>
      <c r="E288" s="25">
        <v>0.38023952095808383</v>
      </c>
    </row>
    <row r="289" spans="1:5" ht="15.6" x14ac:dyDescent="0.3">
      <c r="A289" s="31" t="s">
        <v>4</v>
      </c>
      <c r="B289" s="35">
        <f>SUBTOTAL(109,Table37[Pre Count])</f>
        <v>358</v>
      </c>
      <c r="C289" s="36">
        <f>SUBTOTAL(109,Table37[Pre Count %])</f>
        <v>1</v>
      </c>
      <c r="D289" s="37">
        <f>SUBTOTAL(109,Table37[Post Count])</f>
        <v>334</v>
      </c>
      <c r="E289" s="34">
        <f>SUBTOTAL(109,Table37[Post Count %])</f>
        <v>1</v>
      </c>
    </row>
    <row r="290" spans="1:5" ht="15" x14ac:dyDescent="0.3">
      <c r="A290" s="15"/>
      <c r="B290" s="7"/>
      <c r="C290" s="8"/>
      <c r="D290" s="9"/>
      <c r="E290" s="10"/>
    </row>
    <row r="291" spans="1:5" ht="15" x14ac:dyDescent="0.3">
      <c r="A291" s="45" t="s">
        <v>319</v>
      </c>
      <c r="B291" s="45"/>
      <c r="C291" s="45"/>
      <c r="D291" s="45"/>
      <c r="E291" s="45"/>
    </row>
    <row r="292" spans="1:5" ht="15.6" x14ac:dyDescent="0.3">
      <c r="A292" s="11" t="s">
        <v>278</v>
      </c>
      <c r="B292" s="11" t="s">
        <v>274</v>
      </c>
      <c r="C292" s="11" t="s">
        <v>277</v>
      </c>
      <c r="D292" s="11" t="s">
        <v>275</v>
      </c>
      <c r="E292" s="11" t="s">
        <v>276</v>
      </c>
    </row>
    <row r="293" spans="1:5" ht="15.6" x14ac:dyDescent="0.3">
      <c r="A293" s="1" t="s">
        <v>19</v>
      </c>
      <c r="B293" s="7">
        <v>16</v>
      </c>
      <c r="C293" s="8">
        <v>4.4692737430167592E-2</v>
      </c>
      <c r="D293" s="9">
        <v>10</v>
      </c>
      <c r="E293" s="10">
        <v>2.9940119760479042E-2</v>
      </c>
    </row>
    <row r="294" spans="1:5" ht="15.6" x14ac:dyDescent="0.3">
      <c r="A294" s="1" t="s">
        <v>15</v>
      </c>
      <c r="B294" s="7">
        <v>16</v>
      </c>
      <c r="C294" s="8">
        <v>4.4692737430167592E-2</v>
      </c>
      <c r="D294" s="9">
        <v>6</v>
      </c>
      <c r="E294" s="10">
        <v>1.7964071856287425E-2</v>
      </c>
    </row>
    <row r="295" spans="1:5" ht="15.6" x14ac:dyDescent="0.3">
      <c r="A295" s="1" t="s">
        <v>16</v>
      </c>
      <c r="B295" s="7">
        <v>95</v>
      </c>
      <c r="C295" s="8">
        <v>0.26536312849162014</v>
      </c>
      <c r="D295" s="9">
        <v>27</v>
      </c>
      <c r="E295" s="10">
        <v>8.0838323353293398E-2</v>
      </c>
    </row>
    <row r="296" spans="1:5" ht="15.6" x14ac:dyDescent="0.3">
      <c r="A296" s="1" t="s">
        <v>17</v>
      </c>
      <c r="B296" s="7">
        <v>174</v>
      </c>
      <c r="C296" s="8">
        <v>0.48603351955307261</v>
      </c>
      <c r="D296" s="9">
        <v>162</v>
      </c>
      <c r="E296" s="10">
        <v>0.48502994011976047</v>
      </c>
    </row>
    <row r="297" spans="1:5" ht="15.6" x14ac:dyDescent="0.3">
      <c r="A297" s="21" t="s">
        <v>18</v>
      </c>
      <c r="B297" s="22">
        <v>57</v>
      </c>
      <c r="C297" s="23">
        <v>0.15921787709497207</v>
      </c>
      <c r="D297" s="24">
        <v>129</v>
      </c>
      <c r="E297" s="25">
        <v>0.38622754491017963</v>
      </c>
    </row>
    <row r="298" spans="1:5" ht="15.6" x14ac:dyDescent="0.3">
      <c r="A298" s="31" t="s">
        <v>4</v>
      </c>
      <c r="B298" s="35">
        <f>SUBTOTAL(109,Table38[Pre Count])</f>
        <v>358</v>
      </c>
      <c r="C298" s="36">
        <f>SUBTOTAL(109,Table38[Pre Count %])</f>
        <v>1</v>
      </c>
      <c r="D298" s="37">
        <f>SUBTOTAL(109,Table38[Post Count])</f>
        <v>334</v>
      </c>
      <c r="E298" s="34">
        <f>SUBTOTAL(109,Table38[Post Count %])</f>
        <v>1</v>
      </c>
    </row>
    <row r="299" spans="1:5" ht="15" x14ac:dyDescent="0.3">
      <c r="A299" s="15"/>
      <c r="B299" s="7"/>
      <c r="C299" s="8"/>
      <c r="D299" s="9"/>
      <c r="E299" s="10"/>
    </row>
    <row r="300" spans="1:5" ht="15" x14ac:dyDescent="0.3">
      <c r="A300" s="45" t="s">
        <v>320</v>
      </c>
      <c r="B300" s="45"/>
      <c r="C300" s="45"/>
      <c r="D300" s="45"/>
      <c r="E300" s="45"/>
    </row>
    <row r="301" spans="1:5" ht="15.6" x14ac:dyDescent="0.3">
      <c r="A301" s="11" t="s">
        <v>278</v>
      </c>
      <c r="B301" s="11" t="s">
        <v>274</v>
      </c>
      <c r="C301" s="11" t="s">
        <v>277</v>
      </c>
      <c r="D301" s="11" t="s">
        <v>275</v>
      </c>
      <c r="E301" s="11" t="s">
        <v>276</v>
      </c>
    </row>
    <row r="302" spans="1:5" ht="15.6" x14ac:dyDescent="0.3">
      <c r="A302" s="1" t="s">
        <v>19</v>
      </c>
      <c r="B302" s="7">
        <v>9</v>
      </c>
      <c r="C302" s="8">
        <v>2.5139664804469275E-2</v>
      </c>
      <c r="D302" s="9">
        <v>4</v>
      </c>
      <c r="E302" s="10">
        <v>1.1976047904191617E-2</v>
      </c>
    </row>
    <row r="303" spans="1:5" ht="15.6" x14ac:dyDescent="0.3">
      <c r="A303" s="1" t="s">
        <v>15</v>
      </c>
      <c r="B303" s="7">
        <v>20</v>
      </c>
      <c r="C303" s="8">
        <v>5.5865921787709494E-2</v>
      </c>
      <c r="D303" s="9">
        <v>9</v>
      </c>
      <c r="E303" s="10">
        <v>2.6946107784431138E-2</v>
      </c>
    </row>
    <row r="304" spans="1:5" ht="15.6" x14ac:dyDescent="0.3">
      <c r="A304" s="1" t="s">
        <v>16</v>
      </c>
      <c r="B304" s="7">
        <v>56</v>
      </c>
      <c r="C304" s="8">
        <v>0.15642458100558659</v>
      </c>
      <c r="D304" s="9">
        <v>12</v>
      </c>
      <c r="E304" s="10">
        <v>3.5928143712574849E-2</v>
      </c>
    </row>
    <row r="305" spans="1:5" ht="15.6" x14ac:dyDescent="0.3">
      <c r="A305" s="1" t="s">
        <v>17</v>
      </c>
      <c r="B305" s="7">
        <v>165</v>
      </c>
      <c r="C305" s="8">
        <v>0.46089385474860334</v>
      </c>
      <c r="D305" s="9">
        <v>149</v>
      </c>
      <c r="E305" s="10">
        <v>0.44610778443113774</v>
      </c>
    </row>
    <row r="306" spans="1:5" ht="15.6" x14ac:dyDescent="0.3">
      <c r="A306" s="21" t="s">
        <v>18</v>
      </c>
      <c r="B306" s="22">
        <v>108</v>
      </c>
      <c r="C306" s="23">
        <v>0.3016759776536313</v>
      </c>
      <c r="D306" s="24">
        <v>160</v>
      </c>
      <c r="E306" s="25">
        <v>0.47904191616766467</v>
      </c>
    </row>
    <row r="307" spans="1:5" ht="15.6" x14ac:dyDescent="0.3">
      <c r="A307" s="31" t="s">
        <v>4</v>
      </c>
      <c r="B307" s="35">
        <f>SUBTOTAL(109,Table39[Pre Count])</f>
        <v>358</v>
      </c>
      <c r="C307" s="36">
        <f>SUBTOTAL(109,Table39[Pre Count %])</f>
        <v>1</v>
      </c>
      <c r="D307" s="37">
        <f>SUBTOTAL(109,Table39[Post Count])</f>
        <v>334</v>
      </c>
      <c r="E307" s="34">
        <f>SUBTOTAL(109,Table39[Post Count %])</f>
        <v>1</v>
      </c>
    </row>
    <row r="308" spans="1:5" ht="15" x14ac:dyDescent="0.3">
      <c r="A308" s="15"/>
      <c r="B308" s="7"/>
      <c r="C308" s="8"/>
      <c r="D308" s="9"/>
      <c r="E308" s="10"/>
    </row>
    <row r="309" spans="1:5" ht="15" x14ac:dyDescent="0.3">
      <c r="A309" s="45" t="s">
        <v>321</v>
      </c>
      <c r="B309" s="45"/>
      <c r="C309" s="45"/>
      <c r="D309" s="45"/>
      <c r="E309" s="45"/>
    </row>
    <row r="310" spans="1:5" ht="15.6" x14ac:dyDescent="0.3">
      <c r="A310" s="11" t="s">
        <v>278</v>
      </c>
      <c r="B310" s="11" t="s">
        <v>274</v>
      </c>
      <c r="C310" s="11" t="s">
        <v>277</v>
      </c>
      <c r="D310" s="11" t="s">
        <v>275</v>
      </c>
      <c r="E310" s="11" t="s">
        <v>276</v>
      </c>
    </row>
    <row r="311" spans="1:5" ht="15.6" x14ac:dyDescent="0.3">
      <c r="A311" s="1" t="s">
        <v>19</v>
      </c>
      <c r="B311" s="7">
        <v>9</v>
      </c>
      <c r="C311" s="8">
        <v>2.5139664804469275E-2</v>
      </c>
      <c r="D311" s="9">
        <v>8</v>
      </c>
      <c r="E311" s="10">
        <v>2.3952095808383235E-2</v>
      </c>
    </row>
    <row r="312" spans="1:5" ht="15.6" x14ac:dyDescent="0.3">
      <c r="A312" s="1" t="s">
        <v>15</v>
      </c>
      <c r="B312" s="7">
        <v>9</v>
      </c>
      <c r="C312" s="8">
        <v>2.5139664804469275E-2</v>
      </c>
      <c r="D312" s="9">
        <v>6</v>
      </c>
      <c r="E312" s="10">
        <v>1.7964071856287425E-2</v>
      </c>
    </row>
    <row r="313" spans="1:5" ht="15.6" x14ac:dyDescent="0.3">
      <c r="A313" s="1" t="s">
        <v>16</v>
      </c>
      <c r="B313" s="7">
        <v>23</v>
      </c>
      <c r="C313" s="8">
        <v>6.4245810055865923E-2</v>
      </c>
      <c r="D313" s="9">
        <v>12</v>
      </c>
      <c r="E313" s="10">
        <v>3.5928143712574849E-2</v>
      </c>
    </row>
    <row r="314" spans="1:5" ht="15.6" x14ac:dyDescent="0.3">
      <c r="A314" s="1" t="s">
        <v>17</v>
      </c>
      <c r="B314" s="7">
        <v>186</v>
      </c>
      <c r="C314" s="8">
        <v>0.51955307262569828</v>
      </c>
      <c r="D314" s="9">
        <v>143</v>
      </c>
      <c r="E314" s="10">
        <v>0.42814371257485029</v>
      </c>
    </row>
    <row r="315" spans="1:5" ht="15.6" x14ac:dyDescent="0.3">
      <c r="A315" s="21" t="s">
        <v>18</v>
      </c>
      <c r="B315" s="22">
        <v>131</v>
      </c>
      <c r="C315" s="23">
        <v>0.36592178770949713</v>
      </c>
      <c r="D315" s="24">
        <v>165</v>
      </c>
      <c r="E315" s="25">
        <v>0.4940119760479042</v>
      </c>
    </row>
    <row r="316" spans="1:5" ht="15.6" x14ac:dyDescent="0.3">
      <c r="A316" s="31" t="s">
        <v>4</v>
      </c>
      <c r="B316" s="35">
        <f>SUBTOTAL(109,Table40[Pre Count])</f>
        <v>358</v>
      </c>
      <c r="C316" s="36">
        <f>SUBTOTAL(109,Table40[Pre Count %])</f>
        <v>0.99999999999999989</v>
      </c>
      <c r="D316" s="37">
        <f>SUBTOTAL(109,Table40[Post Count])</f>
        <v>334</v>
      </c>
      <c r="E316" s="34">
        <f>SUBTOTAL(109,Table40[Post Count %])</f>
        <v>1</v>
      </c>
    </row>
    <row r="317" spans="1:5" ht="15" x14ac:dyDescent="0.3">
      <c r="A317" s="15"/>
      <c r="B317" s="7"/>
      <c r="C317" s="8"/>
      <c r="D317" s="9"/>
      <c r="E317" s="10"/>
    </row>
    <row r="318" spans="1:5" ht="15" x14ac:dyDescent="0.3">
      <c r="A318" s="45" t="s">
        <v>322</v>
      </c>
      <c r="B318" s="45"/>
      <c r="C318" s="45"/>
      <c r="D318" s="45"/>
      <c r="E318" s="45"/>
    </row>
    <row r="319" spans="1:5" ht="15.6" x14ac:dyDescent="0.3">
      <c r="A319" s="11" t="s">
        <v>278</v>
      </c>
      <c r="B319" s="11" t="s">
        <v>274</v>
      </c>
      <c r="C319" s="11" t="s">
        <v>277</v>
      </c>
      <c r="D319" s="11" t="s">
        <v>275</v>
      </c>
      <c r="E319" s="11" t="s">
        <v>276</v>
      </c>
    </row>
    <row r="320" spans="1:5" ht="15.6" x14ac:dyDescent="0.3">
      <c r="A320" s="1" t="s">
        <v>19</v>
      </c>
      <c r="B320" s="7">
        <v>15</v>
      </c>
      <c r="C320" s="8">
        <v>4.189944134078212E-2</v>
      </c>
      <c r="D320" s="9">
        <v>11</v>
      </c>
      <c r="E320" s="10">
        <v>3.2934131736526949E-2</v>
      </c>
    </row>
    <row r="321" spans="1:5" ht="15.6" x14ac:dyDescent="0.3">
      <c r="A321" s="1" t="s">
        <v>15</v>
      </c>
      <c r="B321" s="7">
        <v>6</v>
      </c>
      <c r="C321" s="8">
        <v>1.6759776536312849E-2</v>
      </c>
      <c r="D321" s="9">
        <v>5</v>
      </c>
      <c r="E321" s="10">
        <v>1.4970059880239521E-2</v>
      </c>
    </row>
    <row r="322" spans="1:5" ht="15.6" x14ac:dyDescent="0.3">
      <c r="A322" s="1" t="s">
        <v>16</v>
      </c>
      <c r="B322" s="7">
        <v>12</v>
      </c>
      <c r="C322" s="8">
        <v>3.3519553072625698E-2</v>
      </c>
      <c r="D322" s="9">
        <v>9</v>
      </c>
      <c r="E322" s="10">
        <v>2.6946107784431138E-2</v>
      </c>
    </row>
    <row r="323" spans="1:5" ht="15.6" x14ac:dyDescent="0.3">
      <c r="A323" s="1" t="s">
        <v>17</v>
      </c>
      <c r="B323" s="7">
        <v>149</v>
      </c>
      <c r="C323" s="8">
        <v>0.41620111731843573</v>
      </c>
      <c r="D323" s="9">
        <v>104</v>
      </c>
      <c r="E323" s="10">
        <v>0.31137724550898205</v>
      </c>
    </row>
    <row r="324" spans="1:5" ht="15.6" x14ac:dyDescent="0.3">
      <c r="A324" s="21" t="s">
        <v>18</v>
      </c>
      <c r="B324" s="22">
        <v>176</v>
      </c>
      <c r="C324" s="23">
        <v>0.49162011173184356</v>
      </c>
      <c r="D324" s="24">
        <v>205</v>
      </c>
      <c r="E324" s="25">
        <v>0.61377245508982037</v>
      </c>
    </row>
    <row r="325" spans="1:5" ht="15.6" x14ac:dyDescent="0.3">
      <c r="A325" s="31" t="s">
        <v>4</v>
      </c>
      <c r="B325" s="35">
        <f>SUBTOTAL(109,Table41[Pre Count])</f>
        <v>358</v>
      </c>
      <c r="C325" s="36">
        <f>SUBTOTAL(109,Table41[Pre Count %])</f>
        <v>1</v>
      </c>
      <c r="D325" s="33"/>
      <c r="E325" s="34">
        <f>SUBTOTAL(109,Table41[Post Count %])</f>
        <v>1</v>
      </c>
    </row>
    <row r="326" spans="1:5" ht="15" x14ac:dyDescent="0.3">
      <c r="A326" s="15"/>
      <c r="B326" s="7"/>
      <c r="C326" s="8"/>
      <c r="D326" s="9"/>
      <c r="E326" s="10"/>
    </row>
    <row r="327" spans="1:5" ht="15" x14ac:dyDescent="0.3">
      <c r="A327" s="45" t="s">
        <v>323</v>
      </c>
      <c r="B327" s="45"/>
      <c r="C327" s="45"/>
      <c r="D327" s="45"/>
      <c r="E327" s="45"/>
    </row>
    <row r="328" spans="1:5" ht="15.6" x14ac:dyDescent="0.3">
      <c r="A328" s="11" t="s">
        <v>278</v>
      </c>
      <c r="B328" s="11" t="s">
        <v>274</v>
      </c>
      <c r="C328" s="11" t="s">
        <v>277</v>
      </c>
      <c r="D328" s="11" t="s">
        <v>275</v>
      </c>
      <c r="E328" s="11" t="s">
        <v>276</v>
      </c>
    </row>
    <row r="329" spans="1:5" ht="15.6" x14ac:dyDescent="0.3">
      <c r="A329" s="1" t="s">
        <v>19</v>
      </c>
      <c r="B329" s="7">
        <v>12</v>
      </c>
      <c r="C329" s="8">
        <v>3.3519553072625698E-2</v>
      </c>
      <c r="D329" s="9">
        <v>9</v>
      </c>
      <c r="E329" s="10">
        <v>2.6946107784431138E-2</v>
      </c>
    </row>
    <row r="330" spans="1:5" ht="15.6" x14ac:dyDescent="0.3">
      <c r="A330" s="1" t="s">
        <v>15</v>
      </c>
      <c r="B330" s="7">
        <v>6</v>
      </c>
      <c r="C330" s="8">
        <v>1.6759776536312849E-2</v>
      </c>
      <c r="D330" s="9">
        <v>5</v>
      </c>
      <c r="E330" s="10">
        <v>1.4970059880239521E-2</v>
      </c>
    </row>
    <row r="331" spans="1:5" ht="15.6" x14ac:dyDescent="0.3">
      <c r="A331" s="1" t="s">
        <v>16</v>
      </c>
      <c r="B331" s="7">
        <v>14</v>
      </c>
      <c r="C331" s="8">
        <v>3.9106145251396648E-2</v>
      </c>
      <c r="D331" s="9">
        <v>6</v>
      </c>
      <c r="E331" s="10">
        <v>1.7964071856287425E-2</v>
      </c>
    </row>
    <row r="332" spans="1:5" ht="15.6" x14ac:dyDescent="0.3">
      <c r="A332" s="1" t="s">
        <v>17</v>
      </c>
      <c r="B332" s="7">
        <v>158</v>
      </c>
      <c r="C332" s="8">
        <v>0.44134078212290506</v>
      </c>
      <c r="D332" s="9">
        <v>118</v>
      </c>
      <c r="E332" s="10">
        <v>0.3532934131736527</v>
      </c>
    </row>
    <row r="333" spans="1:5" ht="15.6" x14ac:dyDescent="0.3">
      <c r="A333" s="21" t="s">
        <v>18</v>
      </c>
      <c r="B333" s="22">
        <v>168</v>
      </c>
      <c r="C333" s="23">
        <v>0.46927374301675973</v>
      </c>
      <c r="D333" s="24">
        <v>196</v>
      </c>
      <c r="E333" s="25">
        <v>0.58682634730538918</v>
      </c>
    </row>
    <row r="334" spans="1:5" ht="15.6" x14ac:dyDescent="0.3">
      <c r="A334" s="31" t="s">
        <v>4</v>
      </c>
      <c r="B334" s="35">
        <f>SUBTOTAL(109,Table42[Pre Count])</f>
        <v>358</v>
      </c>
      <c r="C334" s="36">
        <f>SUBTOTAL(109,Table42[Pre Count %])</f>
        <v>1</v>
      </c>
      <c r="D334" s="37">
        <f>SUBTOTAL(109,Table42[Post Count])</f>
        <v>334</v>
      </c>
      <c r="E334" s="34">
        <f>SUBTOTAL(109,Table42[Post Count %])</f>
        <v>1</v>
      </c>
    </row>
    <row r="335" spans="1:5" ht="15" x14ac:dyDescent="0.3">
      <c r="A335" s="15"/>
      <c r="B335" s="7"/>
      <c r="C335" s="8"/>
      <c r="D335" s="9"/>
      <c r="E335" s="10"/>
    </row>
    <row r="336" spans="1:5" ht="15" x14ac:dyDescent="0.3">
      <c r="A336" s="45" t="s">
        <v>324</v>
      </c>
      <c r="B336" s="45"/>
      <c r="C336" s="45"/>
      <c r="D336" s="45"/>
      <c r="E336" s="45"/>
    </row>
    <row r="337" spans="1:5" ht="15.6" x14ac:dyDescent="0.3">
      <c r="A337" s="38" t="s">
        <v>278</v>
      </c>
      <c r="B337" s="11" t="s">
        <v>274</v>
      </c>
      <c r="C337" s="11" t="s">
        <v>277</v>
      </c>
      <c r="D337" s="11" t="s">
        <v>275</v>
      </c>
      <c r="E337" s="11" t="s">
        <v>276</v>
      </c>
    </row>
    <row r="338" spans="1:5" ht="15.6" x14ac:dyDescent="0.3">
      <c r="A338" s="1" t="s">
        <v>19</v>
      </c>
      <c r="B338" s="7">
        <v>9</v>
      </c>
      <c r="C338" s="8">
        <v>2.5139664804469275E-2</v>
      </c>
      <c r="D338" s="9">
        <v>8</v>
      </c>
      <c r="E338" s="10">
        <v>2.3952095808383235E-2</v>
      </c>
    </row>
    <row r="339" spans="1:5" ht="15.6" x14ac:dyDescent="0.3">
      <c r="A339" s="1" t="s">
        <v>15</v>
      </c>
      <c r="B339" s="7">
        <v>7</v>
      </c>
      <c r="C339" s="8">
        <v>1.9553072625698324E-2</v>
      </c>
      <c r="D339" s="9">
        <v>6</v>
      </c>
      <c r="E339" s="10">
        <v>1.7964071856287425E-2</v>
      </c>
    </row>
    <row r="340" spans="1:5" ht="15.6" x14ac:dyDescent="0.3">
      <c r="A340" s="1" t="s">
        <v>16</v>
      </c>
      <c r="B340" s="7">
        <v>22</v>
      </c>
      <c r="C340" s="8">
        <v>6.1452513966480445E-2</v>
      </c>
      <c r="D340" s="9">
        <v>10</v>
      </c>
      <c r="E340" s="10">
        <v>2.9940119760479042E-2</v>
      </c>
    </row>
    <row r="341" spans="1:5" ht="15.6" x14ac:dyDescent="0.3">
      <c r="A341" s="1" t="s">
        <v>17</v>
      </c>
      <c r="B341" s="7">
        <v>160</v>
      </c>
      <c r="C341" s="8">
        <v>0.44692737430167595</v>
      </c>
      <c r="D341" s="9">
        <v>133</v>
      </c>
      <c r="E341" s="10">
        <v>0.39820359281437123</v>
      </c>
    </row>
    <row r="342" spans="1:5" ht="15.6" x14ac:dyDescent="0.3">
      <c r="A342" s="21" t="s">
        <v>18</v>
      </c>
      <c r="B342" s="22">
        <v>160</v>
      </c>
      <c r="C342" s="23">
        <v>0.44692737430167595</v>
      </c>
      <c r="D342" s="24">
        <v>177</v>
      </c>
      <c r="E342" s="25">
        <v>0.52994011976047906</v>
      </c>
    </row>
    <row r="343" spans="1:5" ht="15.6" x14ac:dyDescent="0.3">
      <c r="A343" s="31" t="s">
        <v>4</v>
      </c>
      <c r="B343" s="35">
        <f>SUBTOTAL(109,Table43[Pre Count])</f>
        <v>358</v>
      </c>
      <c r="C343" s="36">
        <f>SUBTOTAL(109,Table43[Pre Count %])</f>
        <v>1</v>
      </c>
      <c r="D343" s="37">
        <f>SUBTOTAL(109,Table43[Post Count])</f>
        <v>334</v>
      </c>
      <c r="E343" s="34">
        <f>SUBTOTAL(109,Table43[Post Count %])</f>
        <v>1</v>
      </c>
    </row>
    <row r="344" spans="1:5" ht="15" x14ac:dyDescent="0.3">
      <c r="A344" s="15"/>
      <c r="B344" s="7"/>
      <c r="C344" s="8"/>
      <c r="D344" s="9"/>
      <c r="E344" s="10"/>
    </row>
    <row r="345" spans="1:5" ht="15" x14ac:dyDescent="0.3">
      <c r="A345" s="45" t="s">
        <v>325</v>
      </c>
      <c r="B345" s="45"/>
      <c r="C345" s="45"/>
      <c r="D345" s="45"/>
      <c r="E345" s="45"/>
    </row>
    <row r="346" spans="1:5" ht="15" x14ac:dyDescent="0.3">
      <c r="A346" s="11" t="s">
        <v>278</v>
      </c>
      <c r="B346" s="11" t="s">
        <v>274</v>
      </c>
      <c r="C346" s="11" t="s">
        <v>277</v>
      </c>
      <c r="D346" s="11" t="s">
        <v>275</v>
      </c>
      <c r="E346" s="11" t="s">
        <v>276</v>
      </c>
    </row>
    <row r="347" spans="1:5" ht="15" x14ac:dyDescent="0.3">
      <c r="A347" s="1" t="s">
        <v>19</v>
      </c>
      <c r="B347" s="7">
        <v>9</v>
      </c>
      <c r="C347" s="8">
        <v>2.5139664804469275E-2</v>
      </c>
      <c r="D347" s="9">
        <v>8</v>
      </c>
      <c r="E347" s="10">
        <v>2.3952095808383235E-2</v>
      </c>
    </row>
    <row r="348" spans="1:5" ht="15" x14ac:dyDescent="0.3">
      <c r="A348" s="1" t="s">
        <v>15</v>
      </c>
      <c r="B348" s="7">
        <v>8</v>
      </c>
      <c r="C348" s="8">
        <v>2.2346368715083796E-2</v>
      </c>
      <c r="D348" s="9">
        <v>10</v>
      </c>
      <c r="E348" s="10">
        <v>2.9940119760479042E-2</v>
      </c>
    </row>
    <row r="349" spans="1:5" ht="15" x14ac:dyDescent="0.3">
      <c r="A349" s="1" t="s">
        <v>16</v>
      </c>
      <c r="B349" s="7">
        <v>29</v>
      </c>
      <c r="C349" s="8">
        <v>8.1005586592178769E-2</v>
      </c>
      <c r="D349" s="9">
        <v>17</v>
      </c>
      <c r="E349" s="10">
        <v>5.089820359281437E-2</v>
      </c>
    </row>
    <row r="350" spans="1:5" ht="15" x14ac:dyDescent="0.3">
      <c r="A350" s="1" t="s">
        <v>17</v>
      </c>
      <c r="B350" s="7">
        <v>173</v>
      </c>
      <c r="C350" s="8">
        <v>0.48324022346368717</v>
      </c>
      <c r="D350" s="9">
        <v>139</v>
      </c>
      <c r="E350" s="10">
        <v>0.41616766467065874</v>
      </c>
    </row>
    <row r="351" spans="1:5" ht="15" x14ac:dyDescent="0.3">
      <c r="A351" s="21" t="s">
        <v>18</v>
      </c>
      <c r="B351" s="22">
        <v>139</v>
      </c>
      <c r="C351" s="23">
        <v>0.38826815642458101</v>
      </c>
      <c r="D351" s="24">
        <v>160</v>
      </c>
      <c r="E351" s="25">
        <v>0.47904191616766467</v>
      </c>
    </row>
    <row r="352" spans="1:5" ht="15.6" x14ac:dyDescent="0.3">
      <c r="A352" s="31" t="s">
        <v>4</v>
      </c>
      <c r="B352" s="35">
        <f>SUBTOTAL(109,Table44[Pre Count])</f>
        <v>358</v>
      </c>
      <c r="C352" s="36">
        <f>SUBTOTAL(109,Table44[Pre Count %])</f>
        <v>1</v>
      </c>
      <c r="D352" s="37">
        <f>SUBTOTAL(109,Table44[Post Count])</f>
        <v>334</v>
      </c>
      <c r="E352" s="34">
        <f>SUBTOTAL(109,Table44[Post Count %])</f>
        <v>1</v>
      </c>
    </row>
    <row r="353" spans="1:5" ht="15" x14ac:dyDescent="0.3">
      <c r="A353" s="15"/>
      <c r="B353" s="7"/>
      <c r="C353" s="8"/>
      <c r="D353" s="9"/>
      <c r="E353" s="10"/>
    </row>
    <row r="354" spans="1:5" ht="15" x14ac:dyDescent="0.3">
      <c r="A354" s="45" t="s">
        <v>326</v>
      </c>
      <c r="B354" s="45"/>
      <c r="C354" s="45"/>
      <c r="D354" s="45"/>
      <c r="E354" s="45"/>
    </row>
    <row r="355" spans="1:5" ht="15" x14ac:dyDescent="0.3">
      <c r="A355" s="11" t="s">
        <v>278</v>
      </c>
      <c r="B355" s="11" t="s">
        <v>274</v>
      </c>
      <c r="C355" s="11" t="s">
        <v>277</v>
      </c>
      <c r="D355" s="11" t="s">
        <v>275</v>
      </c>
      <c r="E355" s="11" t="s">
        <v>276</v>
      </c>
    </row>
    <row r="356" spans="1:5" ht="15" x14ac:dyDescent="0.3">
      <c r="A356" s="1" t="s">
        <v>19</v>
      </c>
      <c r="B356" s="7">
        <v>11</v>
      </c>
      <c r="C356" s="8">
        <v>3.0726256983240222E-2</v>
      </c>
      <c r="D356" s="9">
        <v>12</v>
      </c>
      <c r="E356" s="10">
        <v>3.5928143712574849E-2</v>
      </c>
    </row>
    <row r="357" spans="1:5" ht="15" x14ac:dyDescent="0.3">
      <c r="A357" s="1" t="s">
        <v>15</v>
      </c>
      <c r="B357" s="7">
        <v>9</v>
      </c>
      <c r="C357" s="8">
        <v>2.5139664804469275E-2</v>
      </c>
      <c r="D357" s="9">
        <v>6</v>
      </c>
      <c r="E357" s="10">
        <v>1.7964071856287425E-2</v>
      </c>
    </row>
    <row r="358" spans="1:5" ht="15" x14ac:dyDescent="0.3">
      <c r="A358" s="1" t="s">
        <v>16</v>
      </c>
      <c r="B358" s="7">
        <v>51</v>
      </c>
      <c r="C358" s="8">
        <v>0.14245810055865921</v>
      </c>
      <c r="D358" s="9">
        <v>30</v>
      </c>
      <c r="E358" s="10">
        <v>8.9820359281437126E-2</v>
      </c>
    </row>
    <row r="359" spans="1:5" ht="15" x14ac:dyDescent="0.3">
      <c r="A359" s="1" t="s">
        <v>17</v>
      </c>
      <c r="B359" s="7">
        <v>176</v>
      </c>
      <c r="C359" s="8">
        <v>0.49162011173184356</v>
      </c>
      <c r="D359" s="9">
        <v>151</v>
      </c>
      <c r="E359" s="10">
        <v>0.45209580838323354</v>
      </c>
    </row>
    <row r="360" spans="1:5" ht="15" x14ac:dyDescent="0.3">
      <c r="A360" s="21" t="s">
        <v>18</v>
      </c>
      <c r="B360" s="22">
        <v>111</v>
      </c>
      <c r="C360" s="23">
        <v>0.31005586592178769</v>
      </c>
      <c r="D360" s="24">
        <v>135</v>
      </c>
      <c r="E360" s="25">
        <v>0.40419161676646709</v>
      </c>
    </row>
    <row r="361" spans="1:5" ht="15.6" x14ac:dyDescent="0.3">
      <c r="A361" s="31" t="s">
        <v>4</v>
      </c>
      <c r="B361" s="35">
        <f>SUBTOTAL(109,Table45[Pre Count])</f>
        <v>358</v>
      </c>
      <c r="C361" s="36">
        <f>SUBTOTAL(109,Table45[Pre Count %])</f>
        <v>0.99999999999999989</v>
      </c>
      <c r="D361" s="37">
        <f>SUBTOTAL(109,Table45[Post Count])</f>
        <v>334</v>
      </c>
      <c r="E361" s="34">
        <f>SUBTOTAL(109,Table45[Post Count %])</f>
        <v>1</v>
      </c>
    </row>
    <row r="362" spans="1:5" ht="15" x14ac:dyDescent="0.3">
      <c r="A362" s="15"/>
      <c r="B362" s="7"/>
      <c r="C362" s="8"/>
      <c r="D362" s="9"/>
      <c r="E362" s="10"/>
    </row>
    <row r="363" spans="1:5" ht="15" x14ac:dyDescent="0.3">
      <c r="A363" s="45" t="s">
        <v>327</v>
      </c>
      <c r="B363" s="45"/>
      <c r="C363" s="45"/>
      <c r="D363" s="45"/>
      <c r="E363" s="45"/>
    </row>
    <row r="364" spans="1:5" ht="15" x14ac:dyDescent="0.3">
      <c r="A364" s="11" t="s">
        <v>278</v>
      </c>
      <c r="B364" s="11" t="s">
        <v>274</v>
      </c>
      <c r="C364" s="11" t="s">
        <v>277</v>
      </c>
      <c r="D364" s="11" t="s">
        <v>275</v>
      </c>
      <c r="E364" s="11" t="s">
        <v>276</v>
      </c>
    </row>
    <row r="365" spans="1:5" ht="15" x14ac:dyDescent="0.3">
      <c r="A365" s="1" t="s">
        <v>19</v>
      </c>
      <c r="B365" s="7">
        <v>8</v>
      </c>
      <c r="C365" s="8">
        <v>2.2346368715083796E-2</v>
      </c>
      <c r="D365" s="9">
        <v>7</v>
      </c>
      <c r="E365" s="10">
        <v>2.0958083832335328E-2</v>
      </c>
    </row>
    <row r="366" spans="1:5" ht="15" x14ac:dyDescent="0.3">
      <c r="A366" s="1" t="s">
        <v>15</v>
      </c>
      <c r="B366" s="7">
        <v>14</v>
      </c>
      <c r="C366" s="8">
        <v>3.9106145251396648E-2</v>
      </c>
      <c r="D366" s="9">
        <v>17</v>
      </c>
      <c r="E366" s="10">
        <v>5.089820359281437E-2</v>
      </c>
    </row>
    <row r="367" spans="1:5" ht="15" x14ac:dyDescent="0.3">
      <c r="A367" s="1" t="s">
        <v>16</v>
      </c>
      <c r="B367" s="7">
        <v>67</v>
      </c>
      <c r="C367" s="8">
        <v>0.18715083798882681</v>
      </c>
      <c r="D367" s="9">
        <v>36</v>
      </c>
      <c r="E367" s="10">
        <v>0.10778443113772455</v>
      </c>
    </row>
    <row r="368" spans="1:5" ht="15" x14ac:dyDescent="0.3">
      <c r="A368" s="1" t="s">
        <v>17</v>
      </c>
      <c r="B368" s="7">
        <v>163</v>
      </c>
      <c r="C368" s="8">
        <v>0.45530726256983234</v>
      </c>
      <c r="D368" s="9">
        <v>156</v>
      </c>
      <c r="E368" s="10">
        <v>0.46706586826347307</v>
      </c>
    </row>
    <row r="369" spans="1:5" ht="15" x14ac:dyDescent="0.3">
      <c r="A369" s="21" t="s">
        <v>18</v>
      </c>
      <c r="B369" s="22">
        <v>106</v>
      </c>
      <c r="C369" s="23">
        <v>0.29608938547486036</v>
      </c>
      <c r="D369" s="24">
        <v>118</v>
      </c>
      <c r="E369" s="25">
        <v>0.3532934131736527</v>
      </c>
    </row>
    <row r="370" spans="1:5" ht="15.6" x14ac:dyDescent="0.3">
      <c r="A370" s="31" t="s">
        <v>4</v>
      </c>
      <c r="B370" s="35">
        <f>SUBTOTAL(109,Table46[Pre Count])</f>
        <v>358</v>
      </c>
      <c r="C370" s="36">
        <f>SUBTOTAL(109,Table46[Pre Count %])</f>
        <v>1</v>
      </c>
      <c r="D370" s="37">
        <f>SUBTOTAL(109,Table46[Post Count])</f>
        <v>334</v>
      </c>
      <c r="E370" s="34">
        <f>SUBTOTAL(109,Table46[Post Count %])</f>
        <v>1</v>
      </c>
    </row>
    <row r="371" spans="1:5" ht="15" x14ac:dyDescent="0.3">
      <c r="A371" s="44"/>
      <c r="B371" s="7"/>
      <c r="C371" s="8"/>
      <c r="D371" s="9"/>
      <c r="E371" s="10"/>
    </row>
    <row r="372" spans="1:5" ht="15" x14ac:dyDescent="0.3">
      <c r="A372" s="43" t="s">
        <v>328</v>
      </c>
      <c r="B372" s="14"/>
      <c r="C372" s="14"/>
      <c r="D372" s="14"/>
      <c r="E372" s="14"/>
    </row>
    <row r="373" spans="1:5" ht="15" x14ac:dyDescent="0.3">
      <c r="A373" s="11" t="s">
        <v>278</v>
      </c>
      <c r="B373" s="11" t="s">
        <v>274</v>
      </c>
      <c r="C373" s="11" t="s">
        <v>277</v>
      </c>
      <c r="D373" s="11" t="s">
        <v>275</v>
      </c>
      <c r="E373" s="11" t="s">
        <v>276</v>
      </c>
    </row>
    <row r="374" spans="1:5" ht="15" x14ac:dyDescent="0.3">
      <c r="A374" s="1" t="s">
        <v>19</v>
      </c>
      <c r="B374" s="7">
        <v>11</v>
      </c>
      <c r="C374" s="8">
        <v>3.0726256983240222E-2</v>
      </c>
      <c r="D374" s="9">
        <v>11</v>
      </c>
      <c r="E374" s="10">
        <v>3.2934131736526949E-2</v>
      </c>
    </row>
    <row r="375" spans="1:5" ht="15" x14ac:dyDescent="0.3">
      <c r="A375" s="1" t="s">
        <v>15</v>
      </c>
      <c r="B375" s="7">
        <v>8</v>
      </c>
      <c r="C375" s="8">
        <v>2.2346368715083796E-2</v>
      </c>
      <c r="D375" s="9">
        <v>7</v>
      </c>
      <c r="E375" s="10">
        <v>2.0958083832335328E-2</v>
      </c>
    </row>
    <row r="376" spans="1:5" ht="15" x14ac:dyDescent="0.3">
      <c r="A376" s="1" t="s">
        <v>16</v>
      </c>
      <c r="B376" s="7">
        <v>25</v>
      </c>
      <c r="C376" s="8">
        <v>6.9832402234636867E-2</v>
      </c>
      <c r="D376" s="9">
        <v>12</v>
      </c>
      <c r="E376" s="10">
        <v>3.5928143712574849E-2</v>
      </c>
    </row>
    <row r="377" spans="1:5" ht="15" x14ac:dyDescent="0.3">
      <c r="A377" s="1" t="s">
        <v>17</v>
      </c>
      <c r="B377" s="7">
        <v>165</v>
      </c>
      <c r="C377" s="8">
        <v>0.46089385474860334</v>
      </c>
      <c r="D377" s="9">
        <v>141</v>
      </c>
      <c r="E377" s="10">
        <v>0.42215568862275449</v>
      </c>
    </row>
    <row r="378" spans="1:5" ht="15" x14ac:dyDescent="0.3">
      <c r="A378" s="21" t="s">
        <v>18</v>
      </c>
      <c r="B378" s="22">
        <v>149</v>
      </c>
      <c r="C378" s="23">
        <v>0.41620111731843573</v>
      </c>
      <c r="D378" s="24">
        <v>163</v>
      </c>
      <c r="E378" s="25">
        <v>0.48802395209580834</v>
      </c>
    </row>
    <row r="379" spans="1:5" ht="15.6" x14ac:dyDescent="0.3">
      <c r="A379" s="31" t="s">
        <v>4</v>
      </c>
      <c r="B379" s="35">
        <f>SUBTOTAL(109,Table47[Pre Count])</f>
        <v>358</v>
      </c>
      <c r="C379" s="36">
        <f>SUBTOTAL(109,Table47[Pre Count %])</f>
        <v>1</v>
      </c>
      <c r="D379" s="37">
        <f>SUBTOTAL(109,Table47[Post Count])</f>
        <v>334</v>
      </c>
      <c r="E379" s="34">
        <f>SUBTOTAL(109,Table47[Post Count %])</f>
        <v>1</v>
      </c>
    </row>
    <row r="380" spans="1:5" ht="15" x14ac:dyDescent="0.3">
      <c r="A380" s="15"/>
      <c r="B380" s="7"/>
      <c r="C380" s="8"/>
      <c r="D380" s="9"/>
      <c r="E380" s="10"/>
    </row>
    <row r="381" spans="1:5" ht="15" x14ac:dyDescent="0.3">
      <c r="A381" s="45" t="s">
        <v>329</v>
      </c>
      <c r="B381" s="45"/>
      <c r="C381" s="45"/>
      <c r="D381" s="45"/>
      <c r="E381" s="45"/>
    </row>
    <row r="382" spans="1:5" ht="15" x14ac:dyDescent="0.3">
      <c r="A382" s="13" t="s">
        <v>278</v>
      </c>
      <c r="B382" s="13" t="s">
        <v>274</v>
      </c>
      <c r="C382" s="13" t="s">
        <v>277</v>
      </c>
      <c r="D382" s="13" t="s">
        <v>275</v>
      </c>
      <c r="E382" s="13" t="s">
        <v>276</v>
      </c>
    </row>
    <row r="383" spans="1:5" ht="15.6" x14ac:dyDescent="0.3">
      <c r="A383" s="38" t="s">
        <v>279</v>
      </c>
      <c r="B383" s="39" t="s">
        <v>280</v>
      </c>
      <c r="C383" s="40" t="s">
        <v>281</v>
      </c>
      <c r="D383" s="41" t="s">
        <v>282</v>
      </c>
      <c r="E383" s="42" t="s">
        <v>283</v>
      </c>
    </row>
    <row r="384" spans="1:5" ht="15" x14ac:dyDescent="0.3">
      <c r="A384" s="1" t="s">
        <v>19</v>
      </c>
      <c r="B384" s="7">
        <v>12</v>
      </c>
      <c r="C384" s="8">
        <v>3.3519553072625698E-2</v>
      </c>
      <c r="D384" s="9">
        <v>6</v>
      </c>
      <c r="E384" s="10">
        <v>1.7964071856287425E-2</v>
      </c>
    </row>
    <row r="385" spans="1:5" ht="15" x14ac:dyDescent="0.3">
      <c r="A385" s="1" t="s">
        <v>15</v>
      </c>
      <c r="B385" s="7">
        <v>13</v>
      </c>
      <c r="C385" s="8">
        <v>3.6312849162011177E-2</v>
      </c>
      <c r="D385" s="9">
        <v>10</v>
      </c>
      <c r="E385" s="10">
        <v>2.9940119760479042E-2</v>
      </c>
    </row>
    <row r="386" spans="1:5" ht="15" x14ac:dyDescent="0.3">
      <c r="A386" s="1" t="s">
        <v>16</v>
      </c>
      <c r="B386" s="7">
        <v>53</v>
      </c>
      <c r="C386" s="8">
        <v>0.14804469273743018</v>
      </c>
      <c r="D386" s="9">
        <v>35</v>
      </c>
      <c r="E386" s="10">
        <v>0.10479041916167663</v>
      </c>
    </row>
    <row r="387" spans="1:5" ht="15" x14ac:dyDescent="0.3">
      <c r="A387" s="1" t="s">
        <v>17</v>
      </c>
      <c r="B387" s="7">
        <v>192</v>
      </c>
      <c r="C387" s="8">
        <v>0.53631284916201116</v>
      </c>
      <c r="D387" s="9">
        <v>160</v>
      </c>
      <c r="E387" s="10">
        <v>0.47904191616766467</v>
      </c>
    </row>
    <row r="388" spans="1:5" ht="15" x14ac:dyDescent="0.3">
      <c r="A388" s="21" t="s">
        <v>18</v>
      </c>
      <c r="B388" s="22">
        <v>88</v>
      </c>
      <c r="C388" s="23">
        <v>0.24581005586592178</v>
      </c>
      <c r="D388" s="24">
        <v>123</v>
      </c>
      <c r="E388" s="25">
        <v>0.36826347305389218</v>
      </c>
    </row>
    <row r="389" spans="1:5" ht="15.6" x14ac:dyDescent="0.3">
      <c r="A389" s="31" t="s">
        <v>4</v>
      </c>
      <c r="B389" s="35">
        <f>SUBTOTAL(109,Table48[Column2])</f>
        <v>358</v>
      </c>
      <c r="C389" s="36">
        <f>SUBTOTAL(109,Table48[Column3])</f>
        <v>1</v>
      </c>
      <c r="D389" s="37">
        <f>SUBTOTAL(109,Table48[Column4])</f>
        <v>334</v>
      </c>
      <c r="E389" s="34">
        <f>SUBTOTAL(109,Table48[Column5])</f>
        <v>0.99999999999999989</v>
      </c>
    </row>
    <row r="390" spans="1:5" ht="15" x14ac:dyDescent="0.3">
      <c r="A390" s="15"/>
      <c r="B390" s="7"/>
      <c r="C390" s="8"/>
      <c r="D390" s="9"/>
      <c r="E390" s="10"/>
    </row>
    <row r="391" spans="1:5" ht="15" x14ac:dyDescent="0.3">
      <c r="A391" s="45" t="s">
        <v>330</v>
      </c>
      <c r="B391" s="45"/>
      <c r="C391" s="45"/>
      <c r="D391" s="45"/>
      <c r="E391" s="45"/>
    </row>
    <row r="392" spans="1:5" ht="15" x14ac:dyDescent="0.3">
      <c r="A392" s="11" t="s">
        <v>278</v>
      </c>
      <c r="B392" s="11" t="s">
        <v>274</v>
      </c>
      <c r="C392" s="11" t="s">
        <v>277</v>
      </c>
      <c r="D392" s="11" t="s">
        <v>275</v>
      </c>
      <c r="E392" s="11" t="s">
        <v>276</v>
      </c>
    </row>
    <row r="393" spans="1:5" ht="15" x14ac:dyDescent="0.3">
      <c r="A393" s="1" t="s">
        <v>19</v>
      </c>
      <c r="B393" s="7">
        <v>15</v>
      </c>
      <c r="C393" s="8">
        <v>4.2857142857142858E-2</v>
      </c>
      <c r="D393" s="9">
        <v>7</v>
      </c>
      <c r="E393" s="10">
        <v>2.1341463414634148E-2</v>
      </c>
    </row>
    <row r="394" spans="1:5" ht="15" x14ac:dyDescent="0.3">
      <c r="A394" s="1" t="s">
        <v>15</v>
      </c>
      <c r="B394" s="7">
        <v>15</v>
      </c>
      <c r="C394" s="8">
        <v>4.2857142857142858E-2</v>
      </c>
      <c r="D394" s="9">
        <v>12</v>
      </c>
      <c r="E394" s="10">
        <v>3.6585365853658534E-2</v>
      </c>
    </row>
    <row r="395" spans="1:5" ht="15" x14ac:dyDescent="0.3">
      <c r="A395" s="1" t="s">
        <v>16</v>
      </c>
      <c r="B395" s="7">
        <v>24</v>
      </c>
      <c r="C395" s="8">
        <v>6.8571428571428575E-2</v>
      </c>
      <c r="D395" s="9">
        <v>13</v>
      </c>
      <c r="E395" s="10">
        <v>3.9634146341463415E-2</v>
      </c>
    </row>
    <row r="396" spans="1:5" ht="15" x14ac:dyDescent="0.3">
      <c r="A396" s="1" t="s">
        <v>17</v>
      </c>
      <c r="B396" s="7">
        <v>143</v>
      </c>
      <c r="C396" s="8">
        <v>0.40857142857142859</v>
      </c>
      <c r="D396" s="9">
        <v>91</v>
      </c>
      <c r="E396" s="10">
        <v>0.27743902439024393</v>
      </c>
    </row>
    <row r="397" spans="1:5" ht="15" x14ac:dyDescent="0.3">
      <c r="A397" s="21" t="s">
        <v>18</v>
      </c>
      <c r="B397" s="22">
        <v>153</v>
      </c>
      <c r="C397" s="23">
        <v>0.43714285714285717</v>
      </c>
      <c r="D397" s="24">
        <v>205</v>
      </c>
      <c r="E397" s="25">
        <v>0.625</v>
      </c>
    </row>
    <row r="398" spans="1:5" ht="15.6" x14ac:dyDescent="0.3">
      <c r="A398" s="31" t="s">
        <v>4</v>
      </c>
      <c r="B398" s="35">
        <f>SUBTOTAL(109,Table49[Pre Count])</f>
        <v>350</v>
      </c>
      <c r="C398" s="36">
        <f>SUBTOTAL(109,Table49[Pre Count %])</f>
        <v>1</v>
      </c>
      <c r="D398" s="37">
        <f>SUBTOTAL(109,Table49[Post Count])</f>
        <v>328</v>
      </c>
      <c r="E398" s="34">
        <f>SUBTOTAL(109,Table49[Post Count %])</f>
        <v>1</v>
      </c>
    </row>
    <row r="399" spans="1:5" ht="15" x14ac:dyDescent="0.3">
      <c r="A399" s="15"/>
      <c r="B399" s="7"/>
      <c r="C399" s="8"/>
      <c r="D399" s="9"/>
      <c r="E399" s="10"/>
    </row>
    <row r="400" spans="1:5" ht="15" x14ac:dyDescent="0.3">
      <c r="A400" s="45" t="s">
        <v>331</v>
      </c>
      <c r="B400" s="45"/>
      <c r="C400" s="45"/>
      <c r="D400" s="45"/>
      <c r="E400" s="45"/>
    </row>
    <row r="401" spans="1:5" ht="15" x14ac:dyDescent="0.3">
      <c r="A401" s="11" t="s">
        <v>278</v>
      </c>
      <c r="B401" s="11" t="s">
        <v>274</v>
      </c>
      <c r="C401" s="11" t="s">
        <v>277</v>
      </c>
      <c r="D401" s="11" t="s">
        <v>275</v>
      </c>
      <c r="E401" s="11" t="s">
        <v>276</v>
      </c>
    </row>
    <row r="402" spans="1:5" ht="15" x14ac:dyDescent="0.3">
      <c r="A402" s="1" t="s">
        <v>19</v>
      </c>
      <c r="B402" s="7">
        <v>21</v>
      </c>
      <c r="C402" s="8">
        <v>0.06</v>
      </c>
      <c r="D402" s="9">
        <v>17</v>
      </c>
      <c r="E402" s="10">
        <v>5.1829268292682924E-2</v>
      </c>
    </row>
    <row r="403" spans="1:5" ht="15" x14ac:dyDescent="0.3">
      <c r="A403" s="1" t="s">
        <v>15</v>
      </c>
      <c r="B403" s="7">
        <v>11</v>
      </c>
      <c r="C403" s="8">
        <v>3.1428571428571431E-2</v>
      </c>
      <c r="D403" s="9">
        <v>10</v>
      </c>
      <c r="E403" s="10">
        <v>3.048780487804878E-2</v>
      </c>
    </row>
    <row r="404" spans="1:5" ht="15" x14ac:dyDescent="0.3">
      <c r="A404" s="1" t="s">
        <v>16</v>
      </c>
      <c r="B404" s="7">
        <v>18</v>
      </c>
      <c r="C404" s="8">
        <v>5.1428571428571421E-2</v>
      </c>
      <c r="D404" s="9">
        <v>18</v>
      </c>
      <c r="E404" s="10">
        <v>5.4878048780487812E-2</v>
      </c>
    </row>
    <row r="405" spans="1:5" ht="15" x14ac:dyDescent="0.3">
      <c r="A405" s="1" t="s">
        <v>17</v>
      </c>
      <c r="B405" s="7">
        <v>142</v>
      </c>
      <c r="C405" s="8">
        <v>0.40571428571428569</v>
      </c>
      <c r="D405" s="9">
        <v>99</v>
      </c>
      <c r="E405" s="10">
        <v>0.30182926829268292</v>
      </c>
    </row>
    <row r="406" spans="1:5" ht="15" x14ac:dyDescent="0.3">
      <c r="A406" s="21" t="s">
        <v>18</v>
      </c>
      <c r="B406" s="22">
        <v>158</v>
      </c>
      <c r="C406" s="23">
        <v>0.4514285714285714</v>
      </c>
      <c r="D406" s="24">
        <v>184</v>
      </c>
      <c r="E406" s="25">
        <v>0.56097560975609762</v>
      </c>
    </row>
    <row r="407" spans="1:5" ht="15.6" x14ac:dyDescent="0.3">
      <c r="A407" s="31" t="s">
        <v>4</v>
      </c>
      <c r="B407" s="35">
        <f>SUBTOTAL(109,Table50[Pre Count])</f>
        <v>350</v>
      </c>
      <c r="C407" s="36">
        <f>SUBTOTAL(109,Table50[Pre Count %])</f>
        <v>0.99999999999999989</v>
      </c>
      <c r="D407" s="37">
        <f>SUBTOTAL(109,Table50[Post Count])</f>
        <v>328</v>
      </c>
      <c r="E407" s="34">
        <f>SUBTOTAL(109,Table50[Post Count %])</f>
        <v>1</v>
      </c>
    </row>
    <row r="408" spans="1:5" ht="15" x14ac:dyDescent="0.3">
      <c r="A408" s="15"/>
      <c r="B408" s="7"/>
      <c r="C408" s="8"/>
      <c r="D408" s="9"/>
      <c r="E408" s="10"/>
    </row>
    <row r="409" spans="1:5" ht="15" x14ac:dyDescent="0.3">
      <c r="A409" s="45" t="s">
        <v>332</v>
      </c>
      <c r="B409" s="45"/>
      <c r="C409" s="45"/>
      <c r="D409" s="45"/>
      <c r="E409" s="45"/>
    </row>
    <row r="410" spans="1:5" ht="15" x14ac:dyDescent="0.3">
      <c r="A410" s="11" t="s">
        <v>278</v>
      </c>
      <c r="B410" s="11" t="s">
        <v>274</v>
      </c>
      <c r="C410" s="11" t="s">
        <v>277</v>
      </c>
      <c r="D410" s="11" t="s">
        <v>275</v>
      </c>
      <c r="E410" s="11" t="s">
        <v>276</v>
      </c>
    </row>
    <row r="411" spans="1:5" ht="15" x14ac:dyDescent="0.3">
      <c r="A411" s="1" t="s">
        <v>19</v>
      </c>
      <c r="B411" s="7">
        <v>21</v>
      </c>
      <c r="C411" s="8">
        <v>0.06</v>
      </c>
      <c r="D411" s="9">
        <v>14</v>
      </c>
      <c r="E411" s="10">
        <v>4.2682926829268296E-2</v>
      </c>
    </row>
    <row r="412" spans="1:5" ht="15" x14ac:dyDescent="0.3">
      <c r="A412" s="1" t="s">
        <v>15</v>
      </c>
      <c r="B412" s="7">
        <v>16</v>
      </c>
      <c r="C412" s="8">
        <v>4.5714285714285714E-2</v>
      </c>
      <c r="D412" s="9">
        <v>13</v>
      </c>
      <c r="E412" s="10">
        <v>3.9634146341463415E-2</v>
      </c>
    </row>
    <row r="413" spans="1:5" ht="15" x14ac:dyDescent="0.3">
      <c r="A413" s="1" t="s">
        <v>16</v>
      </c>
      <c r="B413" s="7">
        <v>50</v>
      </c>
      <c r="C413" s="8">
        <v>0.14285714285714285</v>
      </c>
      <c r="D413" s="9">
        <v>37</v>
      </c>
      <c r="E413" s="10">
        <v>0.11280487804878049</v>
      </c>
    </row>
    <row r="414" spans="1:5" ht="15" x14ac:dyDescent="0.3">
      <c r="A414" s="1" t="s">
        <v>17</v>
      </c>
      <c r="B414" s="7">
        <v>131</v>
      </c>
      <c r="C414" s="8">
        <v>0.37428571428571433</v>
      </c>
      <c r="D414" s="9">
        <v>92</v>
      </c>
      <c r="E414" s="10">
        <v>0.28048780487804881</v>
      </c>
    </row>
    <row r="415" spans="1:5" ht="15" x14ac:dyDescent="0.3">
      <c r="A415" s="21" t="s">
        <v>18</v>
      </c>
      <c r="B415" s="22">
        <v>132</v>
      </c>
      <c r="C415" s="23">
        <v>0.37714285714285717</v>
      </c>
      <c r="D415" s="24">
        <v>172</v>
      </c>
      <c r="E415" s="25">
        <v>0.52439024390243905</v>
      </c>
    </row>
    <row r="416" spans="1:5" ht="15.6" x14ac:dyDescent="0.3">
      <c r="A416" s="31" t="s">
        <v>4</v>
      </c>
      <c r="B416" s="35">
        <f>SUBTOTAL(109,Table51[Pre Count])</f>
        <v>350</v>
      </c>
      <c r="C416" s="36">
        <f>SUBTOTAL(109,Table51[Pre Count %])</f>
        <v>1</v>
      </c>
      <c r="D416" s="37">
        <f>SUBTOTAL(109,Table51[Post Count])</f>
        <v>328</v>
      </c>
      <c r="E416" s="34">
        <f>SUBTOTAL(109,Table51[Post Count %])</f>
        <v>1</v>
      </c>
    </row>
    <row r="417" spans="1:5" ht="15" x14ac:dyDescent="0.3">
      <c r="A417" s="15"/>
      <c r="B417" s="7"/>
      <c r="C417" s="8"/>
      <c r="D417" s="9"/>
      <c r="E417" s="10"/>
    </row>
    <row r="418" spans="1:5" ht="15" x14ac:dyDescent="0.3">
      <c r="A418" s="45" t="s">
        <v>333</v>
      </c>
      <c r="B418" s="45"/>
      <c r="C418" s="45"/>
      <c r="D418" s="45"/>
      <c r="E418" s="45"/>
    </row>
    <row r="419" spans="1:5" ht="15" x14ac:dyDescent="0.3">
      <c r="A419" s="11" t="s">
        <v>278</v>
      </c>
      <c r="B419" s="11" t="s">
        <v>274</v>
      </c>
      <c r="C419" s="11" t="s">
        <v>277</v>
      </c>
      <c r="D419" s="11" t="s">
        <v>275</v>
      </c>
      <c r="E419" s="11" t="s">
        <v>276</v>
      </c>
    </row>
    <row r="420" spans="1:5" ht="15" x14ac:dyDescent="0.3">
      <c r="A420" s="1" t="s">
        <v>19</v>
      </c>
      <c r="B420" s="7">
        <v>16</v>
      </c>
      <c r="C420" s="8">
        <v>4.5714285714285714E-2</v>
      </c>
      <c r="D420" s="9">
        <v>10</v>
      </c>
      <c r="E420" s="10">
        <v>3.048780487804878E-2</v>
      </c>
    </row>
    <row r="421" spans="1:5" ht="15" x14ac:dyDescent="0.3">
      <c r="A421" s="1" t="s">
        <v>15</v>
      </c>
      <c r="B421" s="7">
        <v>9</v>
      </c>
      <c r="C421" s="8">
        <v>2.571428571428571E-2</v>
      </c>
      <c r="D421" s="9">
        <v>10</v>
      </c>
      <c r="E421" s="10">
        <v>3.048780487804878E-2</v>
      </c>
    </row>
    <row r="422" spans="1:5" ht="15" x14ac:dyDescent="0.3">
      <c r="A422" s="1" t="s">
        <v>16</v>
      </c>
      <c r="B422" s="7">
        <v>21</v>
      </c>
      <c r="C422" s="8">
        <v>0.06</v>
      </c>
      <c r="D422" s="9">
        <v>22</v>
      </c>
      <c r="E422" s="10">
        <v>6.7073170731707321E-2</v>
      </c>
    </row>
    <row r="423" spans="1:5" ht="15" x14ac:dyDescent="0.3">
      <c r="A423" s="1" t="s">
        <v>17</v>
      </c>
      <c r="B423" s="7">
        <v>138</v>
      </c>
      <c r="C423" s="8">
        <v>0.39428571428571429</v>
      </c>
      <c r="D423" s="9">
        <v>103</v>
      </c>
      <c r="E423" s="10">
        <v>0.31402439024390244</v>
      </c>
    </row>
    <row r="424" spans="1:5" ht="15" x14ac:dyDescent="0.3">
      <c r="A424" s="21" t="s">
        <v>18</v>
      </c>
      <c r="B424" s="22">
        <v>166</v>
      </c>
      <c r="C424" s="23">
        <v>0.47428571428571431</v>
      </c>
      <c r="D424" s="24">
        <v>183</v>
      </c>
      <c r="E424" s="25">
        <v>0.55792682926829273</v>
      </c>
    </row>
    <row r="425" spans="1:5" ht="15.6" x14ac:dyDescent="0.3">
      <c r="A425" s="31" t="s">
        <v>4</v>
      </c>
      <c r="B425" s="35">
        <f>SUBTOTAL(109,Table52[Pre Count])</f>
        <v>350</v>
      </c>
      <c r="C425" s="36">
        <f>SUBTOTAL(109,Table52[Pre Count %])</f>
        <v>1</v>
      </c>
      <c r="D425" s="37">
        <f>SUBTOTAL(109,Table52[Post Count])</f>
        <v>328</v>
      </c>
      <c r="E425" s="34">
        <f>SUBTOTAL(109,Table52[Post Count %])</f>
        <v>1</v>
      </c>
    </row>
    <row r="426" spans="1:5" ht="15" x14ac:dyDescent="0.3">
      <c r="A426" s="15"/>
      <c r="B426" s="7"/>
      <c r="C426" s="8"/>
      <c r="D426" s="9"/>
      <c r="E426" s="10"/>
    </row>
    <row r="427" spans="1:5" ht="15" x14ac:dyDescent="0.3">
      <c r="A427" s="45" t="s">
        <v>334</v>
      </c>
      <c r="B427" s="45"/>
      <c r="C427" s="45"/>
      <c r="D427" s="45"/>
      <c r="E427" s="45"/>
    </row>
    <row r="428" spans="1:5" ht="15" x14ac:dyDescent="0.3">
      <c r="A428" s="11" t="s">
        <v>278</v>
      </c>
      <c r="B428" s="11" t="s">
        <v>274</v>
      </c>
      <c r="C428" s="11" t="s">
        <v>277</v>
      </c>
      <c r="D428" s="11" t="s">
        <v>275</v>
      </c>
      <c r="E428" s="11" t="s">
        <v>276</v>
      </c>
    </row>
    <row r="429" spans="1:5" ht="15" x14ac:dyDescent="0.3">
      <c r="A429" s="1" t="s">
        <v>19</v>
      </c>
      <c r="B429" s="7">
        <v>8</v>
      </c>
      <c r="C429" s="8">
        <v>2.2857142857142857E-2</v>
      </c>
      <c r="D429" s="9">
        <v>10</v>
      </c>
      <c r="E429" s="10">
        <v>3.048780487804878E-2</v>
      </c>
    </row>
    <row r="430" spans="1:5" ht="15" x14ac:dyDescent="0.3">
      <c r="A430" s="1" t="s">
        <v>15</v>
      </c>
      <c r="B430" s="7">
        <v>8</v>
      </c>
      <c r="C430" s="8">
        <v>2.2857142857142857E-2</v>
      </c>
      <c r="D430" s="9">
        <v>10</v>
      </c>
      <c r="E430" s="10">
        <v>3.048780487804878E-2</v>
      </c>
    </row>
    <row r="431" spans="1:5" ht="15" x14ac:dyDescent="0.3">
      <c r="A431" s="1" t="s">
        <v>16</v>
      </c>
      <c r="B431" s="7">
        <v>21</v>
      </c>
      <c r="C431" s="8">
        <v>0.06</v>
      </c>
      <c r="D431" s="9">
        <v>26</v>
      </c>
      <c r="E431" s="10">
        <v>7.926829268292683E-2</v>
      </c>
    </row>
    <row r="432" spans="1:5" ht="15" x14ac:dyDescent="0.3">
      <c r="A432" s="1" t="s">
        <v>17</v>
      </c>
      <c r="B432" s="7">
        <v>141</v>
      </c>
      <c r="C432" s="8">
        <v>0.40285714285714286</v>
      </c>
      <c r="D432" s="9">
        <v>104</v>
      </c>
      <c r="E432" s="10">
        <v>0.31707317073170732</v>
      </c>
    </row>
    <row r="433" spans="1:5" ht="15" x14ac:dyDescent="0.3">
      <c r="A433" s="21" t="s">
        <v>18</v>
      </c>
      <c r="B433" s="22">
        <v>172</v>
      </c>
      <c r="C433" s="23">
        <v>0.49142857142857144</v>
      </c>
      <c r="D433" s="24">
        <v>178</v>
      </c>
      <c r="E433" s="25">
        <v>0.54268292682926833</v>
      </c>
    </row>
    <row r="434" spans="1:5" ht="15.6" x14ac:dyDescent="0.3">
      <c r="A434" s="31" t="s">
        <v>4</v>
      </c>
      <c r="B434" s="35">
        <f>SUBTOTAL(109,Table53[Pre Count])</f>
        <v>350</v>
      </c>
      <c r="C434" s="36">
        <f>SUBTOTAL(109,Table53[Pre Count %])</f>
        <v>1</v>
      </c>
      <c r="D434" s="37">
        <f>SUBTOTAL(109,Table53[Post Count])</f>
        <v>328</v>
      </c>
      <c r="E434" s="34">
        <f>SUBTOTAL(109,Table53[Post Count %])</f>
        <v>1</v>
      </c>
    </row>
    <row r="435" spans="1:5" s="20" customFormat="1" ht="15" x14ac:dyDescent="0.3">
      <c r="A435" s="15"/>
      <c r="B435" s="16"/>
      <c r="C435" s="17"/>
      <c r="D435" s="18"/>
      <c r="E435" s="19"/>
    </row>
    <row r="436" spans="1:5" ht="15" x14ac:dyDescent="0.3">
      <c r="A436" s="45" t="s">
        <v>335</v>
      </c>
      <c r="B436" s="45"/>
      <c r="C436" s="45"/>
      <c r="D436" s="45"/>
      <c r="E436" s="45"/>
    </row>
    <row r="437" spans="1:5" ht="15" x14ac:dyDescent="0.3">
      <c r="A437" s="11" t="s">
        <v>278</v>
      </c>
      <c r="B437" s="11" t="s">
        <v>274</v>
      </c>
      <c r="C437" s="11" t="s">
        <v>277</v>
      </c>
      <c r="D437" s="11" t="s">
        <v>275</v>
      </c>
      <c r="E437" s="11" t="s">
        <v>276</v>
      </c>
    </row>
    <row r="438" spans="1:5" ht="15" x14ac:dyDescent="0.3">
      <c r="A438" s="1" t="s">
        <v>19</v>
      </c>
      <c r="B438" s="7">
        <v>21</v>
      </c>
      <c r="C438" s="8">
        <v>0.06</v>
      </c>
      <c r="D438" s="9">
        <v>15</v>
      </c>
      <c r="E438" s="10">
        <v>4.573170731707317E-2</v>
      </c>
    </row>
    <row r="439" spans="1:5" ht="15" x14ac:dyDescent="0.3">
      <c r="A439" s="1" t="s">
        <v>15</v>
      </c>
      <c r="B439" s="7">
        <v>9</v>
      </c>
      <c r="C439" s="8">
        <v>2.571428571428571E-2</v>
      </c>
      <c r="D439" s="9">
        <v>12</v>
      </c>
      <c r="E439" s="10">
        <v>3.6585365853658534E-2</v>
      </c>
    </row>
    <row r="440" spans="1:5" ht="15" x14ac:dyDescent="0.3">
      <c r="A440" s="1" t="s">
        <v>16</v>
      </c>
      <c r="B440" s="7">
        <v>14</v>
      </c>
      <c r="C440" s="8">
        <v>0.04</v>
      </c>
      <c r="D440" s="9">
        <v>18</v>
      </c>
      <c r="E440" s="10">
        <v>5.4878048780487812E-2</v>
      </c>
    </row>
    <row r="441" spans="1:5" ht="15" x14ac:dyDescent="0.3">
      <c r="A441" s="1" t="s">
        <v>17</v>
      </c>
      <c r="B441" s="7">
        <v>138</v>
      </c>
      <c r="C441" s="8">
        <v>0.39428571428571429</v>
      </c>
      <c r="D441" s="9">
        <v>105</v>
      </c>
      <c r="E441" s="10">
        <v>0.3201219512195122</v>
      </c>
    </row>
    <row r="442" spans="1:5" ht="15" x14ac:dyDescent="0.3">
      <c r="A442" s="21" t="s">
        <v>18</v>
      </c>
      <c r="B442" s="22">
        <v>168</v>
      </c>
      <c r="C442" s="23">
        <v>0.48</v>
      </c>
      <c r="D442" s="24">
        <v>178</v>
      </c>
      <c r="E442" s="25">
        <v>0.54268292682926833</v>
      </c>
    </row>
    <row r="443" spans="1:5" ht="15.6" x14ac:dyDescent="0.3">
      <c r="A443" s="31" t="s">
        <v>4</v>
      </c>
      <c r="B443" s="35">
        <f>SUBTOTAL(109,Table54[Pre Count])</f>
        <v>350</v>
      </c>
      <c r="C443" s="36">
        <f>SUBTOTAL(109,Table54[Pre Count %])</f>
        <v>1</v>
      </c>
      <c r="D443" s="37">
        <f>SUBTOTAL(109,Table54[Post Count])</f>
        <v>328</v>
      </c>
      <c r="E443" s="34">
        <f>SUBTOTAL(109,Table54[Post Count %])</f>
        <v>1</v>
      </c>
    </row>
    <row r="444" spans="1:5" ht="15" x14ac:dyDescent="0.3">
      <c r="A444" s="15"/>
      <c r="B444" s="7"/>
      <c r="C444" s="8"/>
      <c r="D444" s="9"/>
      <c r="E444" s="10"/>
    </row>
    <row r="445" spans="1:5" ht="15" x14ac:dyDescent="0.3">
      <c r="A445" s="45" t="s">
        <v>336</v>
      </c>
      <c r="B445" s="45"/>
      <c r="C445" s="45"/>
      <c r="D445" s="45"/>
      <c r="E445" s="45"/>
    </row>
    <row r="446" spans="1:5" ht="15" x14ac:dyDescent="0.3">
      <c r="A446" s="11" t="s">
        <v>278</v>
      </c>
      <c r="B446" s="11" t="s">
        <v>274</v>
      </c>
      <c r="C446" s="11" t="s">
        <v>277</v>
      </c>
      <c r="D446" s="11" t="s">
        <v>275</v>
      </c>
      <c r="E446" s="11" t="s">
        <v>276</v>
      </c>
    </row>
    <row r="447" spans="1:5" ht="15" x14ac:dyDescent="0.3">
      <c r="A447" s="1" t="s">
        <v>15</v>
      </c>
      <c r="B447" s="7">
        <v>2</v>
      </c>
      <c r="C447" s="8">
        <v>5.7803468208092483E-3</v>
      </c>
      <c r="D447" s="9">
        <v>6</v>
      </c>
      <c r="E447" s="10">
        <v>1.8461538461538463E-2</v>
      </c>
    </row>
    <row r="448" spans="1:5" ht="15" x14ac:dyDescent="0.3">
      <c r="A448" s="1" t="s">
        <v>16</v>
      </c>
      <c r="B448" s="7">
        <v>29</v>
      </c>
      <c r="C448" s="8">
        <v>8.3815028901734104E-2</v>
      </c>
      <c r="D448" s="9">
        <v>15</v>
      </c>
      <c r="E448" s="10">
        <v>4.6153846153846156E-2</v>
      </c>
    </row>
    <row r="449" spans="1:5" ht="15" x14ac:dyDescent="0.3">
      <c r="A449" s="1" t="s">
        <v>17</v>
      </c>
      <c r="B449" s="7">
        <v>178</v>
      </c>
      <c r="C449" s="8">
        <v>0.51445086705202314</v>
      </c>
      <c r="D449" s="9">
        <v>151</v>
      </c>
      <c r="E449" s="10">
        <v>0.4646153846153846</v>
      </c>
    </row>
    <row r="450" spans="1:5" ht="15" x14ac:dyDescent="0.3">
      <c r="A450" s="21" t="s">
        <v>18</v>
      </c>
      <c r="B450" s="22">
        <v>137</v>
      </c>
      <c r="C450" s="23">
        <v>0.39595375722543352</v>
      </c>
      <c r="D450" s="24">
        <v>153</v>
      </c>
      <c r="E450" s="25">
        <v>0.47076923076923083</v>
      </c>
    </row>
    <row r="451" spans="1:5" ht="15.6" x14ac:dyDescent="0.3">
      <c r="A451" s="31" t="s">
        <v>4</v>
      </c>
      <c r="B451" s="35">
        <f>SUBTOTAL(109,Table55[Pre Count])</f>
        <v>346</v>
      </c>
      <c r="C451" s="36">
        <f>SUBTOTAL(109,Table55[Pre Count %])</f>
        <v>1</v>
      </c>
      <c r="D451" s="37">
        <f>SUBTOTAL(109,Table55[Post Count])</f>
        <v>325</v>
      </c>
      <c r="E451" s="34">
        <f>SUBTOTAL(109,Table55[Post Count %])</f>
        <v>1</v>
      </c>
    </row>
    <row r="452" spans="1:5" ht="15" x14ac:dyDescent="0.3">
      <c r="A452" s="15"/>
      <c r="B452" s="7"/>
      <c r="C452" s="8"/>
      <c r="D452" s="9"/>
      <c r="E452" s="10"/>
    </row>
    <row r="453" spans="1:5" ht="15" x14ac:dyDescent="0.3">
      <c r="A453" s="45" t="s">
        <v>337</v>
      </c>
      <c r="B453" s="45"/>
      <c r="C453" s="45"/>
      <c r="D453" s="45"/>
      <c r="E453" s="45"/>
    </row>
    <row r="454" spans="1:5" ht="15" x14ac:dyDescent="0.3">
      <c r="A454" s="11" t="s">
        <v>278</v>
      </c>
      <c r="B454" s="11" t="s">
        <v>274</v>
      </c>
      <c r="C454" s="11" t="s">
        <v>277</v>
      </c>
      <c r="D454" s="11" t="s">
        <v>275</v>
      </c>
      <c r="E454" s="11" t="s">
        <v>276</v>
      </c>
    </row>
    <row r="455" spans="1:5" ht="15" x14ac:dyDescent="0.3">
      <c r="A455" s="1" t="s">
        <v>14</v>
      </c>
      <c r="B455" s="7">
        <v>0</v>
      </c>
      <c r="C455" s="8">
        <v>0</v>
      </c>
      <c r="D455" s="9">
        <v>6</v>
      </c>
      <c r="E455" s="10">
        <v>1.8461538461538463E-2</v>
      </c>
    </row>
    <row r="456" spans="1:5" ht="15" x14ac:dyDescent="0.3">
      <c r="A456" s="1" t="s">
        <v>15</v>
      </c>
      <c r="B456" s="7">
        <v>8</v>
      </c>
      <c r="C456" s="8">
        <v>2.3121387283236993E-2</v>
      </c>
      <c r="D456" s="9">
        <v>10</v>
      </c>
      <c r="E456" s="10">
        <v>3.0769230769230771E-2</v>
      </c>
    </row>
    <row r="457" spans="1:5" ht="15" x14ac:dyDescent="0.3">
      <c r="A457" s="1" t="s">
        <v>16</v>
      </c>
      <c r="B457" s="7">
        <v>33</v>
      </c>
      <c r="C457" s="8">
        <v>9.5375722543352595E-2</v>
      </c>
      <c r="D457" s="9">
        <v>34</v>
      </c>
      <c r="E457" s="10">
        <v>0.10461538461538461</v>
      </c>
    </row>
    <row r="458" spans="1:5" ht="15" x14ac:dyDescent="0.3">
      <c r="A458" s="1" t="s">
        <v>17</v>
      </c>
      <c r="B458" s="7">
        <v>156</v>
      </c>
      <c r="C458" s="8">
        <v>0.45086705202312138</v>
      </c>
      <c r="D458" s="9">
        <v>122</v>
      </c>
      <c r="E458" s="10">
        <v>0.37538461538461543</v>
      </c>
    </row>
    <row r="459" spans="1:5" ht="15.6" x14ac:dyDescent="0.3">
      <c r="A459" s="21" t="s">
        <v>18</v>
      </c>
      <c r="B459" s="22">
        <v>149</v>
      </c>
      <c r="C459" s="23">
        <v>0.430635838150289</v>
      </c>
      <c r="D459" s="24">
        <v>153</v>
      </c>
      <c r="E459" s="25">
        <v>0.47076923076923083</v>
      </c>
    </row>
    <row r="460" spans="1:5" ht="15.6" x14ac:dyDescent="0.3">
      <c r="A460" s="31" t="s">
        <v>4</v>
      </c>
      <c r="B460" s="35">
        <f>SUBTOTAL(109,Table56[Pre Count])</f>
        <v>346</v>
      </c>
      <c r="C460" s="36">
        <f>SUBTOTAL(109,Table56[Pre Count %])</f>
        <v>1</v>
      </c>
      <c r="D460" s="37">
        <f>SUBTOTAL(109,Table56[Post Count])</f>
        <v>325</v>
      </c>
      <c r="E460" s="34">
        <f>SUBTOTAL(109,Table56[Post Count %])</f>
        <v>1</v>
      </c>
    </row>
    <row r="461" spans="1:5" ht="15" x14ac:dyDescent="0.3">
      <c r="A461" s="15"/>
      <c r="B461" s="7"/>
      <c r="C461" s="8"/>
      <c r="D461" s="9"/>
      <c r="E461" s="10"/>
    </row>
    <row r="462" spans="1:5" ht="15" x14ac:dyDescent="0.3">
      <c r="A462" s="45" t="s">
        <v>338</v>
      </c>
      <c r="B462" s="45"/>
      <c r="C462" s="45"/>
      <c r="D462" s="45"/>
      <c r="E462" s="45"/>
    </row>
    <row r="463" spans="1:5" ht="15" x14ac:dyDescent="0.3">
      <c r="A463" s="11" t="s">
        <v>278</v>
      </c>
      <c r="B463" s="11" t="s">
        <v>274</v>
      </c>
      <c r="C463" s="11" t="s">
        <v>277</v>
      </c>
      <c r="D463" s="11" t="s">
        <v>275</v>
      </c>
      <c r="E463" s="11" t="s">
        <v>276</v>
      </c>
    </row>
    <row r="464" spans="1:5" ht="15" x14ac:dyDescent="0.3">
      <c r="A464" s="1" t="s">
        <v>14</v>
      </c>
      <c r="B464" s="7">
        <v>4</v>
      </c>
      <c r="C464" s="8">
        <v>1.1560693641618497E-2</v>
      </c>
      <c r="D464" s="9">
        <v>6</v>
      </c>
      <c r="E464" s="10">
        <v>1.8461538461538463E-2</v>
      </c>
    </row>
    <row r="465" spans="1:5" ht="15" x14ac:dyDescent="0.3">
      <c r="A465" s="1" t="s">
        <v>15</v>
      </c>
      <c r="B465" s="7">
        <v>14</v>
      </c>
      <c r="C465" s="8">
        <v>4.0462427745664747E-2</v>
      </c>
      <c r="D465" s="9">
        <v>14</v>
      </c>
      <c r="E465" s="10">
        <v>4.3076923076923075E-2</v>
      </c>
    </row>
    <row r="466" spans="1:5" ht="15" x14ac:dyDescent="0.3">
      <c r="A466" s="1" t="s">
        <v>16</v>
      </c>
      <c r="B466" s="7">
        <v>43</v>
      </c>
      <c r="C466" s="8">
        <v>0.12427745664739884</v>
      </c>
      <c r="D466" s="9">
        <v>29</v>
      </c>
      <c r="E466" s="10">
        <v>8.9230769230769238E-2</v>
      </c>
    </row>
    <row r="467" spans="1:5" ht="15" x14ac:dyDescent="0.3">
      <c r="A467" s="1" t="s">
        <v>17</v>
      </c>
      <c r="B467" s="7">
        <v>163</v>
      </c>
      <c r="C467" s="8">
        <v>0.47109826589595377</v>
      </c>
      <c r="D467" s="9">
        <v>139</v>
      </c>
      <c r="E467" s="10">
        <v>0.42769230769230776</v>
      </c>
    </row>
    <row r="468" spans="1:5" ht="15" x14ac:dyDescent="0.3">
      <c r="A468" s="21" t="s">
        <v>18</v>
      </c>
      <c r="B468" s="22">
        <v>122</v>
      </c>
      <c r="C468" s="23">
        <v>0.35260115606936415</v>
      </c>
      <c r="D468" s="24">
        <v>137</v>
      </c>
      <c r="E468" s="25">
        <v>0.42153846153846153</v>
      </c>
    </row>
    <row r="469" spans="1:5" ht="15.6" x14ac:dyDescent="0.3">
      <c r="A469" s="31" t="s">
        <v>4</v>
      </c>
      <c r="B469" s="35">
        <f>SUBTOTAL(109,Table57[Pre Count])</f>
        <v>346</v>
      </c>
      <c r="C469" s="36">
        <f>SUBTOTAL(109,Table57[Pre Count %])</f>
        <v>1</v>
      </c>
      <c r="D469" s="37">
        <f>SUBTOTAL(109,Table57[Post Count])</f>
        <v>325</v>
      </c>
      <c r="E469" s="34">
        <f>SUBTOTAL(109,Table57[Post Count %])</f>
        <v>1</v>
      </c>
    </row>
    <row r="470" spans="1:5" ht="15" x14ac:dyDescent="0.3">
      <c r="A470" s="15"/>
      <c r="B470" s="7"/>
      <c r="C470" s="8"/>
      <c r="D470" s="9"/>
      <c r="E470" s="10"/>
    </row>
    <row r="471" spans="1:5" ht="15" x14ac:dyDescent="0.3">
      <c r="A471" s="45" t="s">
        <v>339</v>
      </c>
      <c r="B471" s="45"/>
      <c r="C471" s="45"/>
      <c r="D471" s="45"/>
      <c r="E471" s="45"/>
    </row>
    <row r="472" spans="1:5" ht="15" x14ac:dyDescent="0.3">
      <c r="A472" s="11" t="s">
        <v>278</v>
      </c>
      <c r="B472" s="11" t="s">
        <v>274</v>
      </c>
      <c r="C472" s="11" t="s">
        <v>277</v>
      </c>
      <c r="D472" s="11" t="s">
        <v>275</v>
      </c>
      <c r="E472" s="11" t="s">
        <v>276</v>
      </c>
    </row>
    <row r="473" spans="1:5" ht="15" x14ac:dyDescent="0.3">
      <c r="A473" s="1" t="s">
        <v>14</v>
      </c>
      <c r="B473" s="7">
        <v>2</v>
      </c>
      <c r="C473" s="8">
        <v>5.7803468208092483E-3</v>
      </c>
      <c r="D473" s="9">
        <v>4</v>
      </c>
      <c r="E473" s="10">
        <v>1.2307692307692308E-2</v>
      </c>
    </row>
    <row r="474" spans="1:5" ht="15" x14ac:dyDescent="0.3">
      <c r="A474" s="1" t="s">
        <v>15</v>
      </c>
      <c r="B474" s="7">
        <v>17</v>
      </c>
      <c r="C474" s="8">
        <v>4.9132947976878609E-2</v>
      </c>
      <c r="D474" s="9">
        <v>15</v>
      </c>
      <c r="E474" s="10">
        <v>4.6153846153846156E-2</v>
      </c>
    </row>
    <row r="475" spans="1:5" ht="15" x14ac:dyDescent="0.3">
      <c r="A475" s="1" t="s">
        <v>16</v>
      </c>
      <c r="B475" s="7">
        <v>52</v>
      </c>
      <c r="C475" s="8">
        <v>0.15028901734104047</v>
      </c>
      <c r="D475" s="9">
        <v>47</v>
      </c>
      <c r="E475" s="10">
        <v>0.14461538461538462</v>
      </c>
    </row>
    <row r="476" spans="1:5" ht="15" x14ac:dyDescent="0.3">
      <c r="A476" s="1" t="s">
        <v>17</v>
      </c>
      <c r="B476" s="7">
        <v>169</v>
      </c>
      <c r="C476" s="8">
        <v>0.48843930635838151</v>
      </c>
      <c r="D476" s="9">
        <v>137</v>
      </c>
      <c r="E476" s="10">
        <v>0.42153846153846153</v>
      </c>
    </row>
    <row r="477" spans="1:5" ht="15" x14ac:dyDescent="0.3">
      <c r="A477" s="21" t="s">
        <v>18</v>
      </c>
      <c r="B477" s="22">
        <v>106</v>
      </c>
      <c r="C477" s="23">
        <v>0.30635838150289019</v>
      </c>
      <c r="D477" s="24">
        <v>122</v>
      </c>
      <c r="E477" s="25">
        <v>0.37538461538461543</v>
      </c>
    </row>
    <row r="478" spans="1:5" ht="15.6" x14ac:dyDescent="0.3">
      <c r="A478" s="31" t="s">
        <v>4</v>
      </c>
      <c r="B478" s="35">
        <f>SUBTOTAL(109,Table58[Pre Count])</f>
        <v>346</v>
      </c>
      <c r="C478" s="36">
        <f>SUBTOTAL(109,Table58[Pre Count %])</f>
        <v>1</v>
      </c>
      <c r="D478" s="37">
        <f>SUBTOTAL(109,Table58[Post Count])</f>
        <v>325</v>
      </c>
      <c r="E478" s="34">
        <f>SUBTOTAL(109,Table58[Post Count %])</f>
        <v>1</v>
      </c>
    </row>
    <row r="479" spans="1:5" ht="15" x14ac:dyDescent="0.3">
      <c r="A479" s="15"/>
      <c r="B479" s="16"/>
      <c r="C479" s="17"/>
      <c r="D479" s="18"/>
      <c r="E479" s="19"/>
    </row>
    <row r="480" spans="1:5" ht="15" x14ac:dyDescent="0.3">
      <c r="A480" s="46" t="s">
        <v>340</v>
      </c>
      <c r="B480" s="46"/>
      <c r="C480" s="46"/>
      <c r="D480" s="46"/>
      <c r="E480" s="46"/>
    </row>
    <row r="481" spans="1:5" ht="15" x14ac:dyDescent="0.3">
      <c r="A481" s="11" t="s">
        <v>278</v>
      </c>
      <c r="B481" s="11" t="s">
        <v>274</v>
      </c>
      <c r="C481" s="11" t="s">
        <v>277</v>
      </c>
      <c r="D481" s="11" t="s">
        <v>275</v>
      </c>
      <c r="E481" s="11" t="s">
        <v>276</v>
      </c>
    </row>
    <row r="482" spans="1:5" ht="15" x14ac:dyDescent="0.3">
      <c r="A482" s="1" t="s">
        <v>14</v>
      </c>
      <c r="B482" s="7">
        <v>5</v>
      </c>
      <c r="C482" s="8">
        <v>1.4450867052023121E-2</v>
      </c>
      <c r="D482" s="9">
        <v>7</v>
      </c>
      <c r="E482" s="10">
        <v>2.1538461538461538E-2</v>
      </c>
    </row>
    <row r="483" spans="1:5" ht="15" x14ac:dyDescent="0.3">
      <c r="A483" s="1" t="s">
        <v>15</v>
      </c>
      <c r="B483" s="7">
        <v>11</v>
      </c>
      <c r="C483" s="8">
        <v>3.1791907514450865E-2</v>
      </c>
      <c r="D483" s="9">
        <v>12</v>
      </c>
      <c r="E483" s="10">
        <v>3.6923076923076927E-2</v>
      </c>
    </row>
    <row r="484" spans="1:5" ht="15" x14ac:dyDescent="0.3">
      <c r="A484" s="1" t="s">
        <v>16</v>
      </c>
      <c r="B484" s="7">
        <v>37</v>
      </c>
      <c r="C484" s="8">
        <v>0.10693641618497111</v>
      </c>
      <c r="D484" s="9">
        <v>35</v>
      </c>
      <c r="E484" s="10">
        <v>0.1076923076923077</v>
      </c>
    </row>
    <row r="485" spans="1:5" ht="15" x14ac:dyDescent="0.3">
      <c r="A485" s="1" t="s">
        <v>17</v>
      </c>
      <c r="B485" s="7">
        <v>150</v>
      </c>
      <c r="C485" s="8">
        <v>0.43352601156069359</v>
      </c>
      <c r="D485" s="9">
        <v>127</v>
      </c>
      <c r="E485" s="10">
        <v>0.39076923076923076</v>
      </c>
    </row>
    <row r="486" spans="1:5" ht="15" x14ac:dyDescent="0.3">
      <c r="A486" s="21" t="s">
        <v>18</v>
      </c>
      <c r="B486" s="22">
        <v>143</v>
      </c>
      <c r="C486" s="23">
        <v>0.41329479768786131</v>
      </c>
      <c r="D486" s="24">
        <v>144</v>
      </c>
      <c r="E486" s="25">
        <v>0.44307692307692309</v>
      </c>
    </row>
    <row r="487" spans="1:5" ht="15.6" x14ac:dyDescent="0.3">
      <c r="A487" s="31" t="s">
        <v>4</v>
      </c>
      <c r="B487" s="35">
        <f>SUBTOTAL(109,Table59[Pre Count])</f>
        <v>346</v>
      </c>
      <c r="C487" s="36">
        <f>SUBTOTAL(109,Table59[Pre Count %])</f>
        <v>1</v>
      </c>
      <c r="D487" s="37">
        <f>SUBTOTAL(109,Table59[Post Count])</f>
        <v>325</v>
      </c>
      <c r="E487" s="34">
        <f>SUBTOTAL(109,Table59[Post Count %])</f>
        <v>1</v>
      </c>
    </row>
    <row r="488" spans="1:5" ht="15" x14ac:dyDescent="0.3">
      <c r="A488" s="15"/>
      <c r="B488" s="16"/>
      <c r="C488" s="17"/>
      <c r="D488" s="18"/>
      <c r="E488" s="19"/>
    </row>
    <row r="489" spans="1:5" ht="15" x14ac:dyDescent="0.3">
      <c r="A489" s="45" t="s">
        <v>341</v>
      </c>
      <c r="B489" s="45"/>
      <c r="C489" s="45"/>
      <c r="D489" s="45"/>
      <c r="E489" s="45"/>
    </row>
    <row r="490" spans="1:5" ht="15" x14ac:dyDescent="0.3">
      <c r="A490" s="11" t="s">
        <v>278</v>
      </c>
      <c r="B490" s="11" t="s">
        <v>274</v>
      </c>
      <c r="C490" s="11" t="s">
        <v>277</v>
      </c>
      <c r="D490" s="11" t="s">
        <v>275</v>
      </c>
      <c r="E490" s="11" t="s">
        <v>276</v>
      </c>
    </row>
    <row r="491" spans="1:5" ht="15" x14ac:dyDescent="0.3">
      <c r="A491" s="1" t="s">
        <v>14</v>
      </c>
      <c r="B491" s="7">
        <v>14</v>
      </c>
      <c r="C491" s="8">
        <v>4.0462427745664747E-2</v>
      </c>
      <c r="D491" s="9">
        <v>11</v>
      </c>
      <c r="E491" s="10">
        <v>3.3846153846153845E-2</v>
      </c>
    </row>
    <row r="492" spans="1:5" ht="15" x14ac:dyDescent="0.3">
      <c r="A492" s="1" t="s">
        <v>15</v>
      </c>
      <c r="B492" s="7">
        <v>0</v>
      </c>
      <c r="C492" s="8">
        <v>0</v>
      </c>
      <c r="D492" s="9">
        <v>4</v>
      </c>
      <c r="E492" s="10">
        <v>1.2307692307692308E-2</v>
      </c>
    </row>
    <row r="493" spans="1:5" ht="15" x14ac:dyDescent="0.3">
      <c r="A493" s="1" t="s">
        <v>16</v>
      </c>
      <c r="B493" s="7">
        <v>7</v>
      </c>
      <c r="C493" s="8">
        <v>2.0231213872832374E-2</v>
      </c>
      <c r="D493" s="9">
        <v>5</v>
      </c>
      <c r="E493" s="10">
        <v>1.5384615384615385E-2</v>
      </c>
    </row>
    <row r="494" spans="1:5" ht="15" x14ac:dyDescent="0.3">
      <c r="A494" s="1" t="s">
        <v>17</v>
      </c>
      <c r="B494" s="7">
        <v>139</v>
      </c>
      <c r="C494" s="8">
        <v>0.40173410404624277</v>
      </c>
      <c r="D494" s="9">
        <v>117</v>
      </c>
      <c r="E494" s="10">
        <v>0.36</v>
      </c>
    </row>
    <row r="495" spans="1:5" ht="15" x14ac:dyDescent="0.3">
      <c r="A495" s="21" t="s">
        <v>18</v>
      </c>
      <c r="B495" s="22">
        <v>186</v>
      </c>
      <c r="C495" s="23">
        <v>0.53757225433526012</v>
      </c>
      <c r="D495" s="24">
        <v>188</v>
      </c>
      <c r="E495" s="25">
        <v>0.57846153846153847</v>
      </c>
    </row>
    <row r="496" spans="1:5" ht="15.6" x14ac:dyDescent="0.3">
      <c r="A496" s="31" t="s">
        <v>4</v>
      </c>
      <c r="B496" s="35">
        <f>SUBTOTAL(109,Table61[Pre Count])</f>
        <v>346</v>
      </c>
      <c r="C496" s="36">
        <f>SUBTOTAL(109,Table61[Pre Count %])</f>
        <v>1</v>
      </c>
      <c r="D496" s="37">
        <f>SUBTOTAL(109,Table61[Post Count])</f>
        <v>325</v>
      </c>
      <c r="E496" s="34">
        <f>SUBTOTAL(109,Table61[Post Count %])</f>
        <v>1</v>
      </c>
    </row>
    <row r="497" spans="1:5" ht="15" x14ac:dyDescent="0.3">
      <c r="A497" s="15"/>
      <c r="B497" s="7"/>
      <c r="C497" s="8"/>
      <c r="D497" s="9"/>
      <c r="E497" s="10"/>
    </row>
    <row r="498" spans="1:5" ht="15" x14ac:dyDescent="0.3">
      <c r="A498" s="46" t="s">
        <v>342</v>
      </c>
      <c r="B498" s="46"/>
      <c r="C498" s="46"/>
      <c r="D498" s="46"/>
      <c r="E498" s="46"/>
    </row>
    <row r="499" spans="1:5" ht="15" x14ac:dyDescent="0.3">
      <c r="A499" s="11" t="s">
        <v>278</v>
      </c>
      <c r="B499" s="11" t="s">
        <v>274</v>
      </c>
      <c r="C499" s="11" t="s">
        <v>277</v>
      </c>
      <c r="D499" s="11" t="s">
        <v>275</v>
      </c>
      <c r="E499" s="11" t="s">
        <v>276</v>
      </c>
    </row>
    <row r="500" spans="1:5" ht="15" x14ac:dyDescent="0.3">
      <c r="A500" s="1" t="s">
        <v>14</v>
      </c>
      <c r="B500" s="7">
        <v>8</v>
      </c>
      <c r="C500" s="8">
        <v>2.3121387283236993E-2</v>
      </c>
      <c r="D500" s="9">
        <v>9</v>
      </c>
      <c r="E500" s="10">
        <v>2.7692307692307693E-2</v>
      </c>
    </row>
    <row r="501" spans="1:5" ht="15" x14ac:dyDescent="0.3">
      <c r="A501" s="1" t="s">
        <v>15</v>
      </c>
      <c r="B501" s="7">
        <v>14</v>
      </c>
      <c r="C501" s="8">
        <v>4.0462427745664747E-2</v>
      </c>
      <c r="D501" s="9">
        <v>14</v>
      </c>
      <c r="E501" s="10">
        <v>4.3076923076923075E-2</v>
      </c>
    </row>
    <row r="502" spans="1:5" ht="15" x14ac:dyDescent="0.3">
      <c r="A502" s="1" t="s">
        <v>16</v>
      </c>
      <c r="B502" s="7">
        <v>51</v>
      </c>
      <c r="C502" s="8">
        <v>0.14739884393063585</v>
      </c>
      <c r="D502" s="9">
        <v>37</v>
      </c>
      <c r="E502" s="10">
        <v>0.11384615384615385</v>
      </c>
    </row>
    <row r="503" spans="1:5" ht="15" x14ac:dyDescent="0.3">
      <c r="A503" s="1" t="s">
        <v>17</v>
      </c>
      <c r="B503" s="7">
        <v>143</v>
      </c>
      <c r="C503" s="8">
        <v>0.41329479768786131</v>
      </c>
      <c r="D503" s="9">
        <v>123</v>
      </c>
      <c r="E503" s="10">
        <v>0.37846153846153846</v>
      </c>
    </row>
    <row r="504" spans="1:5" ht="15" x14ac:dyDescent="0.3">
      <c r="A504" s="21" t="s">
        <v>18</v>
      </c>
      <c r="B504" s="22">
        <v>130</v>
      </c>
      <c r="C504" s="23">
        <v>0.37572254335260113</v>
      </c>
      <c r="D504" s="24">
        <v>142</v>
      </c>
      <c r="E504" s="25">
        <v>0.43692307692307691</v>
      </c>
    </row>
    <row r="505" spans="1:5" ht="15.6" x14ac:dyDescent="0.3">
      <c r="A505" s="31" t="s">
        <v>4</v>
      </c>
      <c r="B505" s="35">
        <f>SUBTOTAL(109,Table62[Pre Count])</f>
        <v>346</v>
      </c>
      <c r="C505" s="36">
        <f>SUBTOTAL(109,Table62[Pre Count %])</f>
        <v>1</v>
      </c>
      <c r="D505" s="37">
        <f>SUBTOTAL(109,Table62[Post Count])</f>
        <v>325</v>
      </c>
      <c r="E505" s="34">
        <f>SUBTOTAL(109,Table62[Post Count %])</f>
        <v>1</v>
      </c>
    </row>
    <row r="506" spans="1:5" ht="15" x14ac:dyDescent="0.3">
      <c r="A506" s="15"/>
      <c r="B506" s="7"/>
      <c r="C506" s="8"/>
      <c r="D506" s="9"/>
      <c r="E506" s="10"/>
    </row>
    <row r="507" spans="1:5" ht="15" x14ac:dyDescent="0.3">
      <c r="A507" s="45" t="s">
        <v>343</v>
      </c>
      <c r="B507" s="45"/>
      <c r="C507" s="45"/>
      <c r="D507" s="45"/>
      <c r="E507" s="45"/>
    </row>
    <row r="508" spans="1:5" ht="15" x14ac:dyDescent="0.3">
      <c r="A508" s="11" t="s">
        <v>278</v>
      </c>
      <c r="B508" s="11" t="s">
        <v>274</v>
      </c>
      <c r="C508" s="11" t="s">
        <v>277</v>
      </c>
      <c r="D508" s="11" t="s">
        <v>275</v>
      </c>
      <c r="E508" s="11" t="s">
        <v>276</v>
      </c>
    </row>
    <row r="509" spans="1:5" ht="15" x14ac:dyDescent="0.3">
      <c r="A509" s="1" t="s">
        <v>14</v>
      </c>
      <c r="B509" s="7">
        <v>6</v>
      </c>
      <c r="C509" s="8">
        <v>1.7341040462427744E-2</v>
      </c>
      <c r="D509" s="9">
        <v>5</v>
      </c>
      <c r="E509" s="10">
        <v>1.5384615384615385E-2</v>
      </c>
    </row>
    <row r="510" spans="1:5" ht="15" x14ac:dyDescent="0.3">
      <c r="A510" s="1" t="s">
        <v>15</v>
      </c>
      <c r="B510" s="7">
        <v>17</v>
      </c>
      <c r="C510" s="8">
        <v>4.9132947976878609E-2</v>
      </c>
      <c r="D510" s="9">
        <v>16</v>
      </c>
      <c r="E510" s="10">
        <v>4.9230769230769231E-2</v>
      </c>
    </row>
    <row r="511" spans="1:5" ht="15" x14ac:dyDescent="0.3">
      <c r="A511" s="1" t="s">
        <v>16</v>
      </c>
      <c r="B511" s="7">
        <v>60</v>
      </c>
      <c r="C511" s="8">
        <v>0.17341040462427745</v>
      </c>
      <c r="D511" s="9">
        <v>52</v>
      </c>
      <c r="E511" s="10">
        <v>0.16</v>
      </c>
    </row>
    <row r="512" spans="1:5" ht="15" x14ac:dyDescent="0.3">
      <c r="A512" s="1" t="s">
        <v>17</v>
      </c>
      <c r="B512" s="7">
        <v>164</v>
      </c>
      <c r="C512" s="8">
        <v>0.47398843930635837</v>
      </c>
      <c r="D512" s="9">
        <v>136</v>
      </c>
      <c r="E512" s="10">
        <v>0.41846153846153844</v>
      </c>
    </row>
    <row r="513" spans="1:5" ht="15" x14ac:dyDescent="0.3">
      <c r="A513" s="21" t="s">
        <v>18</v>
      </c>
      <c r="B513" s="22">
        <v>99</v>
      </c>
      <c r="C513" s="23">
        <v>0.2861271676300578</v>
      </c>
      <c r="D513" s="24">
        <v>116</v>
      </c>
      <c r="E513" s="25">
        <v>0.35692307692307695</v>
      </c>
    </row>
    <row r="514" spans="1:5" ht="15.6" x14ac:dyDescent="0.3">
      <c r="A514" s="31" t="s">
        <v>4</v>
      </c>
      <c r="B514" s="35">
        <f>SUBTOTAL(109,Table63[Pre Count])</f>
        <v>346</v>
      </c>
      <c r="C514" s="36">
        <f>SUBTOTAL(109,Table63[Pre Count %])</f>
        <v>1</v>
      </c>
      <c r="D514" s="37">
        <f>SUBTOTAL(109,Table63[Post Count])</f>
        <v>325</v>
      </c>
      <c r="E514" s="34">
        <f>SUBTOTAL(109,Table63[Post Count %])</f>
        <v>1</v>
      </c>
    </row>
    <row r="515" spans="1:5" ht="15" x14ac:dyDescent="0.3">
      <c r="A515" s="15"/>
      <c r="B515" s="7"/>
      <c r="C515" s="8"/>
      <c r="D515" s="9"/>
      <c r="E515" s="10"/>
    </row>
    <row r="516" spans="1:5" ht="15" x14ac:dyDescent="0.3">
      <c r="A516" s="45" t="s">
        <v>344</v>
      </c>
      <c r="B516" s="45"/>
      <c r="C516" s="45"/>
      <c r="D516" s="45"/>
      <c r="E516" s="45"/>
    </row>
    <row r="517" spans="1:5" ht="15" x14ac:dyDescent="0.3">
      <c r="A517" s="11" t="s">
        <v>278</v>
      </c>
      <c r="B517" s="11" t="s">
        <v>274</v>
      </c>
      <c r="C517" s="11" t="s">
        <v>277</v>
      </c>
      <c r="D517" s="11" t="s">
        <v>275</v>
      </c>
      <c r="E517" s="11" t="s">
        <v>276</v>
      </c>
    </row>
    <row r="518" spans="1:5" ht="15" x14ac:dyDescent="0.3">
      <c r="A518" s="1" t="s">
        <v>14</v>
      </c>
      <c r="B518" s="7">
        <v>9</v>
      </c>
      <c r="C518" s="8">
        <v>2.6011560693641619E-2</v>
      </c>
      <c r="D518" s="9">
        <v>10</v>
      </c>
      <c r="E518" s="10">
        <v>3.0769230769230771E-2</v>
      </c>
    </row>
    <row r="519" spans="1:5" ht="15" x14ac:dyDescent="0.3">
      <c r="A519" s="1" t="s">
        <v>15</v>
      </c>
      <c r="B519" s="7">
        <v>37</v>
      </c>
      <c r="C519" s="8">
        <v>0.10693641618497111</v>
      </c>
      <c r="D519" s="9">
        <v>25</v>
      </c>
      <c r="E519" s="10">
        <v>7.6923076923076927E-2</v>
      </c>
    </row>
    <row r="520" spans="1:5" ht="15" x14ac:dyDescent="0.3">
      <c r="A520" s="1" t="s">
        <v>16</v>
      </c>
      <c r="B520" s="7">
        <v>104</v>
      </c>
      <c r="C520" s="8">
        <v>0.30057803468208094</v>
      </c>
      <c r="D520" s="9">
        <v>98</v>
      </c>
      <c r="E520" s="10">
        <v>0.30153846153846153</v>
      </c>
    </row>
    <row r="521" spans="1:5" ht="15" x14ac:dyDescent="0.3">
      <c r="A521" s="1" t="s">
        <v>17</v>
      </c>
      <c r="B521" s="7">
        <v>155</v>
      </c>
      <c r="C521" s="8">
        <v>0.44797687861271673</v>
      </c>
      <c r="D521" s="9">
        <v>145</v>
      </c>
      <c r="E521" s="10">
        <v>0.44615384615384618</v>
      </c>
    </row>
    <row r="522" spans="1:5" ht="15.6" x14ac:dyDescent="0.3">
      <c r="A522" s="21" t="s">
        <v>18</v>
      </c>
      <c r="B522" s="22">
        <v>41</v>
      </c>
      <c r="C522" s="23">
        <v>0.11849710982658959</v>
      </c>
      <c r="D522" s="24">
        <v>47</v>
      </c>
      <c r="E522" s="25">
        <v>0.14461538461538462</v>
      </c>
    </row>
    <row r="523" spans="1:5" ht="15.6" x14ac:dyDescent="0.3">
      <c r="A523" s="31" t="s">
        <v>4</v>
      </c>
      <c r="B523" s="35">
        <f>SUBTOTAL(109,Table64[Pre Count])</f>
        <v>346</v>
      </c>
      <c r="C523" s="36">
        <f>SUBTOTAL(109,Table64[Pre Count %])</f>
        <v>1</v>
      </c>
      <c r="D523" s="37">
        <f>SUBTOTAL(109,Table64[Post Count])</f>
        <v>325</v>
      </c>
      <c r="E523" s="34">
        <f>SUBTOTAL(109,Table64[Post Count %])</f>
        <v>1</v>
      </c>
    </row>
    <row r="524" spans="1:5" ht="15" x14ac:dyDescent="0.3">
      <c r="A524" s="15"/>
      <c r="B524" s="7"/>
      <c r="C524" s="8"/>
      <c r="D524" s="9"/>
      <c r="E524" s="10"/>
    </row>
    <row r="525" spans="1:5" ht="15" x14ac:dyDescent="0.3">
      <c r="A525" s="45" t="s">
        <v>345</v>
      </c>
      <c r="B525" s="45"/>
      <c r="C525" s="45"/>
      <c r="D525" s="45"/>
      <c r="E525" s="45"/>
    </row>
    <row r="526" spans="1:5" ht="15" x14ac:dyDescent="0.3">
      <c r="A526" s="11" t="s">
        <v>278</v>
      </c>
      <c r="B526" s="11" t="s">
        <v>274</v>
      </c>
      <c r="C526" s="11" t="s">
        <v>277</v>
      </c>
      <c r="D526" s="11" t="s">
        <v>275</v>
      </c>
      <c r="E526" s="11" t="s">
        <v>276</v>
      </c>
    </row>
    <row r="527" spans="1:5" ht="15" x14ac:dyDescent="0.3">
      <c r="A527" s="1" t="s">
        <v>14</v>
      </c>
      <c r="B527" s="7">
        <v>7</v>
      </c>
      <c r="C527" s="8">
        <v>2.0231213872832374E-2</v>
      </c>
      <c r="D527" s="9">
        <v>14</v>
      </c>
      <c r="E527" s="10">
        <v>4.3076923076923075E-2</v>
      </c>
    </row>
    <row r="528" spans="1:5" ht="15" x14ac:dyDescent="0.3">
      <c r="A528" s="1" t="s">
        <v>15</v>
      </c>
      <c r="B528" s="7">
        <v>17</v>
      </c>
      <c r="C528" s="8">
        <v>4.9132947976878609E-2</v>
      </c>
      <c r="D528" s="9">
        <v>14</v>
      </c>
      <c r="E528" s="10">
        <v>4.3076923076923075E-2</v>
      </c>
    </row>
    <row r="529" spans="1:5" ht="15" x14ac:dyDescent="0.3">
      <c r="A529" s="1" t="s">
        <v>16</v>
      </c>
      <c r="B529" s="7">
        <v>79</v>
      </c>
      <c r="C529" s="8">
        <v>0.22832369942196531</v>
      </c>
      <c r="D529" s="9">
        <v>76</v>
      </c>
      <c r="E529" s="10">
        <v>0.23384615384615384</v>
      </c>
    </row>
    <row r="530" spans="1:5" ht="15" x14ac:dyDescent="0.3">
      <c r="A530" s="1" t="s">
        <v>17</v>
      </c>
      <c r="B530" s="7">
        <v>183</v>
      </c>
      <c r="C530" s="8">
        <v>0.52890173410404628</v>
      </c>
      <c r="D530" s="9">
        <v>149</v>
      </c>
      <c r="E530" s="10">
        <v>0.45846153846153848</v>
      </c>
    </row>
    <row r="531" spans="1:5" ht="15" x14ac:dyDescent="0.3">
      <c r="A531" s="21" t="s">
        <v>18</v>
      </c>
      <c r="B531" s="22">
        <v>60</v>
      </c>
      <c r="C531" s="23">
        <v>0.17341040462427745</v>
      </c>
      <c r="D531" s="24">
        <v>72</v>
      </c>
      <c r="E531" s="25">
        <v>0.22153846153846155</v>
      </c>
    </row>
    <row r="532" spans="1:5" ht="15.6" x14ac:dyDescent="0.3">
      <c r="A532" s="31" t="s">
        <v>4</v>
      </c>
      <c r="B532" s="35">
        <f>SUBTOTAL(109,Table65[Pre Count])</f>
        <v>346</v>
      </c>
      <c r="C532" s="36">
        <f>SUBTOTAL(109,Table65[Pre Count %])</f>
        <v>1</v>
      </c>
      <c r="D532" s="37">
        <f>SUBTOTAL(109,Table65[Post Count])</f>
        <v>325</v>
      </c>
      <c r="E532" s="34">
        <f>SUBTOTAL(109,Table65[Post Count %])</f>
        <v>1</v>
      </c>
    </row>
    <row r="533" spans="1:5" ht="15" x14ac:dyDescent="0.3">
      <c r="A533" s="15"/>
      <c r="B533" s="7"/>
      <c r="C533" s="8"/>
      <c r="D533" s="9"/>
      <c r="E533" s="10"/>
    </row>
    <row r="534" spans="1:5" ht="15" x14ac:dyDescent="0.3">
      <c r="A534" s="45" t="s">
        <v>346</v>
      </c>
      <c r="B534" s="45"/>
      <c r="C534" s="45"/>
      <c r="D534" s="45"/>
      <c r="E534" s="45"/>
    </row>
    <row r="535" spans="1:5" ht="15" x14ac:dyDescent="0.3">
      <c r="A535" s="11" t="s">
        <v>278</v>
      </c>
      <c r="B535" s="11" t="s">
        <v>274</v>
      </c>
      <c r="C535" s="11" t="s">
        <v>277</v>
      </c>
      <c r="D535" s="11" t="s">
        <v>275</v>
      </c>
      <c r="E535" s="11" t="s">
        <v>276</v>
      </c>
    </row>
    <row r="536" spans="1:5" ht="15" x14ac:dyDescent="0.3">
      <c r="A536" s="1" t="s">
        <v>14</v>
      </c>
      <c r="B536" s="7">
        <v>11</v>
      </c>
      <c r="C536" s="8">
        <v>3.1791907514450865E-2</v>
      </c>
      <c r="D536" s="9">
        <v>19</v>
      </c>
      <c r="E536" s="10">
        <v>5.8461538461538461E-2</v>
      </c>
    </row>
    <row r="537" spans="1:5" ht="15" x14ac:dyDescent="0.3">
      <c r="A537" s="1" t="s">
        <v>15</v>
      </c>
      <c r="B537" s="7">
        <v>13</v>
      </c>
      <c r="C537" s="8">
        <v>3.7572254335260118E-2</v>
      </c>
      <c r="D537" s="9">
        <v>12</v>
      </c>
      <c r="E537" s="10">
        <v>3.6923076923076927E-2</v>
      </c>
    </row>
    <row r="538" spans="1:5" ht="15" x14ac:dyDescent="0.3">
      <c r="A538" s="1" t="s">
        <v>16</v>
      </c>
      <c r="B538" s="7">
        <v>46</v>
      </c>
      <c r="C538" s="8">
        <v>0.13294797687861271</v>
      </c>
      <c r="D538" s="9">
        <v>28</v>
      </c>
      <c r="E538" s="10">
        <v>8.615384615384615E-2</v>
      </c>
    </row>
    <row r="539" spans="1:5" ht="15" x14ac:dyDescent="0.3">
      <c r="A539" s="1" t="s">
        <v>17</v>
      </c>
      <c r="B539" s="7">
        <v>182</v>
      </c>
      <c r="C539" s="8">
        <v>0.52601156069364163</v>
      </c>
      <c r="D539" s="9">
        <v>150</v>
      </c>
      <c r="E539" s="10">
        <v>0.46153846153846151</v>
      </c>
    </row>
    <row r="540" spans="1:5" ht="15" x14ac:dyDescent="0.3">
      <c r="A540" s="21" t="s">
        <v>18</v>
      </c>
      <c r="B540" s="22">
        <v>94</v>
      </c>
      <c r="C540" s="23">
        <v>0.27167630057803466</v>
      </c>
      <c r="D540" s="24">
        <v>116</v>
      </c>
      <c r="E540" s="25">
        <v>0.35692307692307695</v>
      </c>
    </row>
    <row r="541" spans="1:5" ht="15.6" x14ac:dyDescent="0.3">
      <c r="A541" s="31" t="s">
        <v>4</v>
      </c>
      <c r="B541" s="35">
        <f>SUBTOTAL(109,Table67[Pre Count])</f>
        <v>346</v>
      </c>
      <c r="C541" s="36">
        <f>SUBTOTAL(109,Table67[Pre Count %])</f>
        <v>1</v>
      </c>
      <c r="D541" s="37">
        <f>SUBTOTAL(109,Table67[Post Count])</f>
        <v>325</v>
      </c>
      <c r="E541" s="34">
        <f>SUBTOTAL(109,Table67[Post Count %])</f>
        <v>1</v>
      </c>
    </row>
    <row r="542" spans="1:5" ht="15" x14ac:dyDescent="0.3">
      <c r="A542" s="15"/>
      <c r="B542" s="7"/>
      <c r="C542" s="8"/>
      <c r="D542" s="9"/>
      <c r="E542" s="10"/>
    </row>
    <row r="543" spans="1:5" ht="15" x14ac:dyDescent="0.3">
      <c r="A543" s="45" t="s">
        <v>347</v>
      </c>
      <c r="B543" s="45"/>
      <c r="C543" s="45"/>
      <c r="D543" s="45"/>
      <c r="E543" s="45"/>
    </row>
    <row r="544" spans="1:5" ht="15.6" x14ac:dyDescent="0.3">
      <c r="A544" s="11" t="s">
        <v>278</v>
      </c>
      <c r="B544" s="11" t="s">
        <v>274</v>
      </c>
      <c r="C544" s="11" t="s">
        <v>277</v>
      </c>
      <c r="D544" s="11" t="s">
        <v>275</v>
      </c>
      <c r="E544" s="11" t="s">
        <v>276</v>
      </c>
    </row>
    <row r="545" spans="1:5" ht="15.6" x14ac:dyDescent="0.3">
      <c r="A545" s="1" t="s">
        <v>0</v>
      </c>
      <c r="B545" s="7">
        <v>31</v>
      </c>
      <c r="C545" s="8">
        <v>8.2228116710875335E-2</v>
      </c>
      <c r="D545" s="9">
        <v>18</v>
      </c>
      <c r="E545" s="10">
        <v>5.2478134110787174E-2</v>
      </c>
    </row>
    <row r="546" spans="1:5" ht="15.6" x14ac:dyDescent="0.3">
      <c r="A546" s="1" t="s">
        <v>20</v>
      </c>
      <c r="B546" s="7">
        <v>0</v>
      </c>
      <c r="C546" s="8">
        <v>0</v>
      </c>
      <c r="D546" s="9">
        <v>2</v>
      </c>
      <c r="E546" s="10">
        <v>5.8309037900874635E-3</v>
      </c>
    </row>
    <row r="547" spans="1:5" ht="15.6" x14ac:dyDescent="0.3">
      <c r="A547" s="1" t="s">
        <v>21</v>
      </c>
      <c r="B547" s="7">
        <v>30</v>
      </c>
      <c r="C547" s="8">
        <v>7.9575596816976124E-2</v>
      </c>
      <c r="D547" s="9">
        <v>38</v>
      </c>
      <c r="E547" s="10">
        <v>0.11078717201166181</v>
      </c>
    </row>
    <row r="548" spans="1:5" ht="15.6" x14ac:dyDescent="0.3">
      <c r="A548" s="1" t="s">
        <v>22</v>
      </c>
      <c r="B548" s="7">
        <v>0</v>
      </c>
      <c r="C548" s="8">
        <v>0</v>
      </c>
      <c r="D548" s="9">
        <v>1</v>
      </c>
      <c r="E548" s="10">
        <v>2.9154518950437317E-3</v>
      </c>
    </row>
    <row r="549" spans="1:5" ht="15.6" x14ac:dyDescent="0.3">
      <c r="A549" s="1" t="s">
        <v>23</v>
      </c>
      <c r="B549" s="7">
        <v>2</v>
      </c>
      <c r="C549" s="8">
        <v>5.3050397877984082E-3</v>
      </c>
      <c r="D549" s="9">
        <v>3</v>
      </c>
      <c r="E549" s="10">
        <v>8.7463556851311956E-3</v>
      </c>
    </row>
    <row r="550" spans="1:5" ht="15.6" x14ac:dyDescent="0.3">
      <c r="A550" s="1" t="s">
        <v>24</v>
      </c>
      <c r="B550" s="7">
        <v>7</v>
      </c>
      <c r="C550" s="8">
        <v>1.8567639257294429E-2</v>
      </c>
      <c r="D550" s="9">
        <v>4</v>
      </c>
      <c r="E550" s="10">
        <v>1.1661807580174927E-2</v>
      </c>
    </row>
    <row r="551" spans="1:5" ht="15.6" x14ac:dyDescent="0.3">
      <c r="A551" s="1" t="s">
        <v>25</v>
      </c>
      <c r="B551" s="7">
        <v>11</v>
      </c>
      <c r="C551" s="8">
        <v>2.9177718832891247E-2</v>
      </c>
      <c r="D551" s="9">
        <v>9</v>
      </c>
      <c r="E551" s="10">
        <v>2.6239067055393587E-2</v>
      </c>
    </row>
    <row r="552" spans="1:5" ht="15.6" x14ac:dyDescent="0.3">
      <c r="A552" s="1" t="s">
        <v>26</v>
      </c>
      <c r="B552" s="7">
        <v>35</v>
      </c>
      <c r="C552" s="8">
        <v>9.2838196286472149E-2</v>
      </c>
      <c r="D552" s="9">
        <v>19</v>
      </c>
      <c r="E552" s="10">
        <v>5.5393586005830907E-2</v>
      </c>
    </row>
    <row r="553" spans="1:5" ht="15.6" x14ac:dyDescent="0.3">
      <c r="A553" s="1" t="s">
        <v>27</v>
      </c>
      <c r="B553" s="7">
        <v>84</v>
      </c>
      <c r="C553" s="8">
        <v>0.22281167108753316</v>
      </c>
      <c r="D553" s="9">
        <v>73</v>
      </c>
      <c r="E553" s="10">
        <v>0.21282798833819241</v>
      </c>
    </row>
    <row r="554" spans="1:5" ht="15.6" x14ac:dyDescent="0.3">
      <c r="A554" s="1" t="s">
        <v>28</v>
      </c>
      <c r="B554" s="7">
        <v>125</v>
      </c>
      <c r="C554" s="8">
        <v>0.33156498673740054</v>
      </c>
      <c r="D554" s="9">
        <v>118</v>
      </c>
      <c r="E554" s="10">
        <v>0.34402332361516036</v>
      </c>
    </row>
    <row r="555" spans="1:5" ht="15.6" x14ac:dyDescent="0.3">
      <c r="A555" s="21" t="s">
        <v>29</v>
      </c>
      <c r="B555" s="22">
        <v>52</v>
      </c>
      <c r="C555" s="23">
        <v>0.13793103448275862</v>
      </c>
      <c r="D555" s="24">
        <v>58</v>
      </c>
      <c r="E555" s="25">
        <v>0.16909620991253643</v>
      </c>
    </row>
    <row r="556" spans="1:5" ht="15.6" x14ac:dyDescent="0.3">
      <c r="A556" s="31" t="s">
        <v>4</v>
      </c>
      <c r="B556" s="35">
        <f>SUBTOTAL(109,Table66[Pre Count])</f>
        <v>377</v>
      </c>
      <c r="C556" s="36">
        <f>SUBTOTAL(109,Table66[Pre Count %])</f>
        <v>1</v>
      </c>
      <c r="D556" s="37">
        <f>SUBTOTAL(109,Table66[Post Count])</f>
        <v>343</v>
      </c>
      <c r="E556" s="34">
        <f>SUBTOTAL(109,Table66[Post Count %])</f>
        <v>1</v>
      </c>
    </row>
    <row r="557" spans="1:5" ht="15" x14ac:dyDescent="0.3">
      <c r="A557" s="15"/>
      <c r="B557" s="7"/>
      <c r="C557" s="8"/>
      <c r="D557" s="9"/>
      <c r="E557" s="10"/>
    </row>
    <row r="558" spans="1:5" ht="15" x14ac:dyDescent="0.3">
      <c r="A558" s="45" t="s">
        <v>348</v>
      </c>
      <c r="B558" s="45"/>
      <c r="C558" s="45"/>
      <c r="D558" s="45"/>
      <c r="E558" s="45"/>
    </row>
    <row r="559" spans="1:5" ht="15" x14ac:dyDescent="0.3">
      <c r="A559" s="11" t="s">
        <v>278</v>
      </c>
      <c r="B559" s="11" t="s">
        <v>274</v>
      </c>
      <c r="C559" s="11" t="s">
        <v>277</v>
      </c>
      <c r="D559" s="11" t="s">
        <v>275</v>
      </c>
      <c r="E559" s="11" t="s">
        <v>276</v>
      </c>
    </row>
    <row r="560" spans="1:5" ht="15" x14ac:dyDescent="0.3">
      <c r="A560" s="1" t="s">
        <v>30</v>
      </c>
      <c r="B560" s="7">
        <v>17</v>
      </c>
      <c r="C560" s="8">
        <v>4.9562682215743441E-2</v>
      </c>
      <c r="D560" s="9">
        <v>4</v>
      </c>
      <c r="E560" s="10">
        <v>1.2500000000000001E-2</v>
      </c>
    </row>
    <row r="561" spans="1:5" ht="15" x14ac:dyDescent="0.3">
      <c r="A561" s="1" t="s">
        <v>31</v>
      </c>
      <c r="B561" s="7">
        <v>101</v>
      </c>
      <c r="C561" s="8">
        <v>0.29446064139941691</v>
      </c>
      <c r="D561" s="9">
        <v>66</v>
      </c>
      <c r="E561" s="10">
        <v>0.20624999999999999</v>
      </c>
    </row>
    <row r="562" spans="1:5" ht="15" x14ac:dyDescent="0.3">
      <c r="A562" s="1" t="s">
        <v>32</v>
      </c>
      <c r="B562" s="7">
        <v>118</v>
      </c>
      <c r="C562" s="8">
        <v>0.34402332361516036</v>
      </c>
      <c r="D562" s="9">
        <v>106</v>
      </c>
      <c r="E562" s="10">
        <v>0.33124999999999999</v>
      </c>
    </row>
    <row r="563" spans="1:5" ht="15" x14ac:dyDescent="0.3">
      <c r="A563" s="1" t="s">
        <v>33</v>
      </c>
      <c r="B563" s="7">
        <v>91</v>
      </c>
      <c r="C563" s="8">
        <v>0.26530612244897961</v>
      </c>
      <c r="D563" s="9">
        <v>114</v>
      </c>
      <c r="E563" s="10">
        <v>0.35625000000000001</v>
      </c>
    </row>
    <row r="564" spans="1:5" ht="15" x14ac:dyDescent="0.3">
      <c r="A564" s="21" t="s">
        <v>34</v>
      </c>
      <c r="B564" s="22">
        <v>16</v>
      </c>
      <c r="C564" s="23">
        <v>4.6647230320699708E-2</v>
      </c>
      <c r="D564" s="24">
        <v>30</v>
      </c>
      <c r="E564" s="25">
        <v>9.375E-2</v>
      </c>
    </row>
    <row r="565" spans="1:5" ht="15.6" x14ac:dyDescent="0.3">
      <c r="A565" s="31" t="s">
        <v>4</v>
      </c>
      <c r="B565" s="35">
        <f>SUBTOTAL(109,Table68[Pre Count])</f>
        <v>343</v>
      </c>
      <c r="C565" s="36">
        <f>SUBTOTAL(109,Table68[Pre Count %])</f>
        <v>1</v>
      </c>
      <c r="D565" s="37">
        <f>SUBTOTAL(109,Table68[Post Count])</f>
        <v>320</v>
      </c>
      <c r="E565" s="34">
        <f>SUBTOTAL(109,Table68[Post Count %])</f>
        <v>1</v>
      </c>
    </row>
    <row r="566" spans="1:5" ht="15" x14ac:dyDescent="0.3">
      <c r="A566" s="15"/>
      <c r="B566" s="7"/>
      <c r="C566" s="8"/>
      <c r="D566" s="9"/>
      <c r="E566" s="10"/>
    </row>
    <row r="567" spans="1:5" ht="15" x14ac:dyDescent="0.3">
      <c r="A567" s="45" t="s">
        <v>349</v>
      </c>
      <c r="B567" s="45"/>
      <c r="C567" s="45"/>
      <c r="D567" s="45"/>
      <c r="E567" s="45"/>
    </row>
    <row r="568" spans="1:5" ht="15" x14ac:dyDescent="0.3">
      <c r="A568" s="11" t="s">
        <v>278</v>
      </c>
      <c r="B568" s="11" t="s">
        <v>274</v>
      </c>
      <c r="C568" s="11" t="s">
        <v>277</v>
      </c>
      <c r="D568" s="11" t="s">
        <v>275</v>
      </c>
      <c r="E568" s="11" t="s">
        <v>276</v>
      </c>
    </row>
    <row r="569" spans="1:5" ht="15" x14ac:dyDescent="0.3">
      <c r="A569" s="1" t="s">
        <v>35</v>
      </c>
      <c r="B569" s="7">
        <v>166</v>
      </c>
      <c r="C569" s="8">
        <v>0.48396501457725949</v>
      </c>
      <c r="D569" s="9">
        <v>189</v>
      </c>
      <c r="E569" s="10">
        <v>0.59062499999999996</v>
      </c>
    </row>
    <row r="570" spans="1:5" ht="15" x14ac:dyDescent="0.3">
      <c r="A570" s="1" t="s">
        <v>2</v>
      </c>
      <c r="B570" s="7">
        <v>127</v>
      </c>
      <c r="C570" s="8">
        <v>0.37026239067055394</v>
      </c>
      <c r="D570" s="9">
        <v>113</v>
      </c>
      <c r="E570" s="10">
        <v>0.35312500000000002</v>
      </c>
    </row>
    <row r="571" spans="1:5" ht="15" x14ac:dyDescent="0.3">
      <c r="A571" s="1" t="s">
        <v>36</v>
      </c>
      <c r="B571" s="7">
        <v>39</v>
      </c>
      <c r="C571" s="8">
        <v>0.11370262390670555</v>
      </c>
      <c r="D571" s="9">
        <v>11</v>
      </c>
      <c r="E571" s="10">
        <v>3.4375000000000003E-2</v>
      </c>
    </row>
    <row r="572" spans="1:5" ht="15" x14ac:dyDescent="0.3">
      <c r="A572" s="1" t="s">
        <v>37</v>
      </c>
      <c r="B572" s="7">
        <v>10</v>
      </c>
      <c r="C572" s="8">
        <v>2.9154518950437316E-2</v>
      </c>
      <c r="D572" s="9">
        <v>6</v>
      </c>
      <c r="E572" s="10">
        <v>1.8749999999999999E-2</v>
      </c>
    </row>
    <row r="573" spans="1:5" ht="15" x14ac:dyDescent="0.3">
      <c r="A573" s="21" t="s">
        <v>38</v>
      </c>
      <c r="B573" s="22">
        <v>1</v>
      </c>
      <c r="C573" s="23">
        <v>2.9154518950437317E-3</v>
      </c>
      <c r="D573" s="24">
        <v>1</v>
      </c>
      <c r="E573" s="25">
        <v>3.1250000000000002E-3</v>
      </c>
    </row>
    <row r="574" spans="1:5" ht="15.6" x14ac:dyDescent="0.3">
      <c r="A574" s="31" t="s">
        <v>4</v>
      </c>
      <c r="B574" s="35">
        <f>SUBTOTAL(109,Table69[Pre Count])</f>
        <v>343</v>
      </c>
      <c r="C574" s="36">
        <f>SUBTOTAL(109,Table69[Pre Count %])</f>
        <v>1</v>
      </c>
      <c r="D574" s="37">
        <f>SUBTOTAL(109,Table69[Post Count])</f>
        <v>320</v>
      </c>
      <c r="E574" s="34">
        <f>SUBTOTAL(109,Table69[Post Count %])</f>
        <v>1</v>
      </c>
    </row>
    <row r="575" spans="1:5" ht="15" x14ac:dyDescent="0.3">
      <c r="A575" s="15"/>
      <c r="B575" s="7"/>
      <c r="C575" s="8"/>
      <c r="D575" s="9"/>
      <c r="E575" s="10"/>
    </row>
    <row r="576" spans="1:5" ht="15" x14ac:dyDescent="0.3">
      <c r="A576" s="45" t="s">
        <v>350</v>
      </c>
      <c r="B576" s="45"/>
      <c r="C576" s="45"/>
      <c r="D576" s="45"/>
      <c r="E576" s="45"/>
    </row>
    <row r="577" spans="1:5" ht="15" x14ac:dyDescent="0.3">
      <c r="A577" s="11" t="s">
        <v>278</v>
      </c>
      <c r="B577" s="11" t="s">
        <v>274</v>
      </c>
      <c r="C577" s="11" t="s">
        <v>277</v>
      </c>
      <c r="D577" s="11" t="s">
        <v>275</v>
      </c>
      <c r="E577" s="11" t="s">
        <v>276</v>
      </c>
    </row>
    <row r="578" spans="1:5" ht="15" x14ac:dyDescent="0.3">
      <c r="A578" s="1" t="s">
        <v>35</v>
      </c>
      <c r="B578" s="7">
        <v>256</v>
      </c>
      <c r="C578" s="8">
        <v>0.74635568513119532</v>
      </c>
      <c r="D578" s="9">
        <v>255</v>
      </c>
      <c r="E578" s="10">
        <v>0.796875</v>
      </c>
    </row>
    <row r="579" spans="1:5" ht="15" x14ac:dyDescent="0.3">
      <c r="A579" s="1" t="s">
        <v>2</v>
      </c>
      <c r="B579" s="7">
        <v>76</v>
      </c>
      <c r="C579" s="8">
        <v>0.22157434402332363</v>
      </c>
      <c r="D579" s="9">
        <v>61</v>
      </c>
      <c r="E579" s="10">
        <v>0.19062499999999999</v>
      </c>
    </row>
    <row r="580" spans="1:5" ht="15" x14ac:dyDescent="0.3">
      <c r="A580" s="1" t="s">
        <v>36</v>
      </c>
      <c r="B580" s="7">
        <v>6</v>
      </c>
      <c r="C580" s="8">
        <v>1.7492711370262391E-2</v>
      </c>
      <c r="D580" s="9">
        <v>1</v>
      </c>
      <c r="E580" s="10">
        <v>3.1250000000000002E-3</v>
      </c>
    </row>
    <row r="581" spans="1:5" ht="15" x14ac:dyDescent="0.3">
      <c r="A581" s="1" t="s">
        <v>37</v>
      </c>
      <c r="B581" s="7">
        <v>4</v>
      </c>
      <c r="C581" s="8">
        <v>1.1661807580174927E-2</v>
      </c>
      <c r="D581" s="9">
        <v>2</v>
      </c>
      <c r="E581" s="10">
        <v>6.2500000000000003E-3</v>
      </c>
    </row>
    <row r="582" spans="1:5" ht="15" x14ac:dyDescent="0.3">
      <c r="A582" s="21" t="s">
        <v>38</v>
      </c>
      <c r="B582" s="22">
        <v>1</v>
      </c>
      <c r="C582" s="23">
        <v>2.9154518950437317E-3</v>
      </c>
      <c r="D582" s="24">
        <v>1</v>
      </c>
      <c r="E582" s="25">
        <v>3.1250000000000002E-3</v>
      </c>
    </row>
    <row r="583" spans="1:5" ht="15.6" x14ac:dyDescent="0.3">
      <c r="A583" s="31" t="s">
        <v>4</v>
      </c>
      <c r="B583" s="35">
        <f>SUBTOTAL(109,Table70[Pre Count])</f>
        <v>343</v>
      </c>
      <c r="C583" s="36">
        <f>SUBTOTAL(109,Table70[Pre Count %])</f>
        <v>1</v>
      </c>
      <c r="D583" s="37">
        <f>SUBTOTAL(109,Table70[Post Count])</f>
        <v>320</v>
      </c>
      <c r="E583" s="34">
        <f>SUBTOTAL(109,Table70[Post Count %])</f>
        <v>1</v>
      </c>
    </row>
    <row r="584" spans="1:5" ht="15" x14ac:dyDescent="0.3">
      <c r="A584" s="15"/>
      <c r="B584" s="7"/>
      <c r="C584" s="8"/>
      <c r="D584" s="9"/>
      <c r="E584" s="10"/>
    </row>
    <row r="585" spans="1:5" ht="15" x14ac:dyDescent="0.3">
      <c r="A585" s="45" t="s">
        <v>351</v>
      </c>
      <c r="B585" s="45"/>
      <c r="C585" s="45"/>
      <c r="D585" s="45"/>
      <c r="E585" s="45"/>
    </row>
    <row r="586" spans="1:5" ht="15" x14ac:dyDescent="0.3">
      <c r="A586" s="11" t="s">
        <v>278</v>
      </c>
      <c r="B586" s="11" t="s">
        <v>274</v>
      </c>
      <c r="C586" s="11" t="s">
        <v>277</v>
      </c>
      <c r="D586" s="11" t="s">
        <v>275</v>
      </c>
      <c r="E586" s="11" t="s">
        <v>276</v>
      </c>
    </row>
    <row r="587" spans="1:5" ht="15" x14ac:dyDescent="0.3">
      <c r="A587" s="1" t="s">
        <v>35</v>
      </c>
      <c r="B587" s="7">
        <v>72</v>
      </c>
      <c r="C587" s="8">
        <v>0.2099125364431487</v>
      </c>
      <c r="D587" s="9">
        <v>43</v>
      </c>
      <c r="E587" s="10">
        <v>0.13437499999999999</v>
      </c>
    </row>
    <row r="588" spans="1:5" ht="15" x14ac:dyDescent="0.3">
      <c r="A588" s="1" t="s">
        <v>2</v>
      </c>
      <c r="B588" s="7">
        <v>125</v>
      </c>
      <c r="C588" s="8">
        <v>0.3644314868804665</v>
      </c>
      <c r="D588" s="9">
        <v>105</v>
      </c>
      <c r="E588" s="10">
        <v>0.328125</v>
      </c>
    </row>
    <row r="589" spans="1:5" ht="15" x14ac:dyDescent="0.3">
      <c r="A589" s="1" t="s">
        <v>36</v>
      </c>
      <c r="B589" s="7">
        <v>80</v>
      </c>
      <c r="C589" s="8">
        <v>0.23323615160349853</v>
      </c>
      <c r="D589" s="9">
        <v>72</v>
      </c>
      <c r="E589" s="10">
        <v>0.22500000000000001</v>
      </c>
    </row>
    <row r="590" spans="1:5" ht="15" x14ac:dyDescent="0.3">
      <c r="A590" s="1" t="s">
        <v>37</v>
      </c>
      <c r="B590" s="7">
        <v>58</v>
      </c>
      <c r="C590" s="8">
        <v>0.16909620991253643</v>
      </c>
      <c r="D590" s="9">
        <v>86</v>
      </c>
      <c r="E590" s="10">
        <v>0.26874999999999999</v>
      </c>
    </row>
    <row r="591" spans="1:5" ht="15" x14ac:dyDescent="0.3">
      <c r="A591" s="21" t="s">
        <v>38</v>
      </c>
      <c r="B591" s="22">
        <v>8</v>
      </c>
      <c r="C591" s="23">
        <v>2.3323615160349854E-2</v>
      </c>
      <c r="D591" s="24">
        <v>14</v>
      </c>
      <c r="E591" s="25">
        <v>4.3749999999999997E-2</v>
      </c>
    </row>
    <row r="592" spans="1:5" ht="15.6" x14ac:dyDescent="0.3">
      <c r="A592" s="31" t="s">
        <v>4</v>
      </c>
      <c r="B592" s="35">
        <f>SUBTOTAL(109,Table71[Pre Count])</f>
        <v>343</v>
      </c>
      <c r="C592" s="36">
        <f>SUBTOTAL(109,Table71[Pre Count %])</f>
        <v>1</v>
      </c>
      <c r="D592" s="37">
        <f>SUBTOTAL(109,Table71[Post Count])</f>
        <v>320</v>
      </c>
      <c r="E592" s="34">
        <f>SUBTOTAL(109,Table71[Post Count %])</f>
        <v>1</v>
      </c>
    </row>
    <row r="593" spans="1:5" ht="15" x14ac:dyDescent="0.3">
      <c r="A593" s="15"/>
      <c r="B593" s="7"/>
      <c r="C593" s="8"/>
      <c r="D593" s="9"/>
      <c r="E593" s="10"/>
    </row>
    <row r="594" spans="1:5" ht="15" x14ac:dyDescent="0.3">
      <c r="A594" s="45" t="s">
        <v>352</v>
      </c>
      <c r="B594" s="45"/>
      <c r="C594" s="45"/>
      <c r="D594" s="45"/>
      <c r="E594" s="45"/>
    </row>
    <row r="595" spans="1:5" ht="15" x14ac:dyDescent="0.3">
      <c r="A595" s="11" t="s">
        <v>278</v>
      </c>
      <c r="B595" s="11" t="s">
        <v>274</v>
      </c>
      <c r="C595" s="11" t="s">
        <v>277</v>
      </c>
      <c r="D595" s="11" t="s">
        <v>275</v>
      </c>
      <c r="E595" s="11" t="s">
        <v>276</v>
      </c>
    </row>
    <row r="596" spans="1:5" ht="15" x14ac:dyDescent="0.3">
      <c r="A596" s="1" t="s">
        <v>39</v>
      </c>
      <c r="B596" s="7">
        <v>20</v>
      </c>
      <c r="C596" s="8">
        <v>5.8309037900874633E-2</v>
      </c>
      <c r="D596" s="9">
        <v>9</v>
      </c>
      <c r="E596" s="10">
        <v>2.8125000000000001E-2</v>
      </c>
    </row>
    <row r="597" spans="1:5" ht="15" x14ac:dyDescent="0.3">
      <c r="A597" s="1" t="s">
        <v>40</v>
      </c>
      <c r="B597" s="7">
        <v>82</v>
      </c>
      <c r="C597" s="8">
        <v>0.239067055393586</v>
      </c>
      <c r="D597" s="9">
        <v>64</v>
      </c>
      <c r="E597" s="10">
        <v>0.2</v>
      </c>
    </row>
    <row r="598" spans="1:5" ht="15" x14ac:dyDescent="0.3">
      <c r="A598" s="1" t="s">
        <v>41</v>
      </c>
      <c r="B598" s="7">
        <v>131</v>
      </c>
      <c r="C598" s="8">
        <v>0.38192419825072887</v>
      </c>
      <c r="D598" s="9">
        <v>130</v>
      </c>
      <c r="E598" s="10">
        <v>0.40625</v>
      </c>
    </row>
    <row r="599" spans="1:5" ht="15" x14ac:dyDescent="0.3">
      <c r="A599" s="1" t="s">
        <v>42</v>
      </c>
      <c r="B599" s="7">
        <v>89</v>
      </c>
      <c r="C599" s="8">
        <v>0.25947521865889212</v>
      </c>
      <c r="D599" s="9">
        <v>85</v>
      </c>
      <c r="E599" s="10">
        <v>0.265625</v>
      </c>
    </row>
    <row r="600" spans="1:5" ht="15" x14ac:dyDescent="0.3">
      <c r="A600" s="21" t="s">
        <v>43</v>
      </c>
      <c r="B600" s="22">
        <v>21</v>
      </c>
      <c r="C600" s="23">
        <v>6.1224489795918366E-2</v>
      </c>
      <c r="D600" s="24">
        <v>32</v>
      </c>
      <c r="E600" s="25">
        <v>0.1</v>
      </c>
    </row>
    <row r="601" spans="1:5" ht="15.6" x14ac:dyDescent="0.3">
      <c r="A601" s="31" t="s">
        <v>4</v>
      </c>
      <c r="B601" s="35">
        <f>SUBTOTAL(109,Table72[Pre Count])</f>
        <v>343</v>
      </c>
      <c r="C601" s="36">
        <f>SUBTOTAL(109,Table72[Pre Count %])</f>
        <v>1</v>
      </c>
      <c r="D601" s="37">
        <f>SUBTOTAL(109,Table72[Post Count])</f>
        <v>320</v>
      </c>
      <c r="E601" s="34">
        <f>SUBTOTAL(109,Table72[Post Count %])</f>
        <v>1</v>
      </c>
    </row>
    <row r="602" spans="1:5" ht="15" x14ac:dyDescent="0.3">
      <c r="A602" s="15"/>
      <c r="B602" s="7"/>
      <c r="C602" s="8"/>
      <c r="D602" s="9"/>
      <c r="E602" s="10"/>
    </row>
    <row r="603" spans="1:5" ht="15" x14ac:dyDescent="0.3">
      <c r="A603" s="45" t="s">
        <v>353</v>
      </c>
      <c r="B603" s="45"/>
      <c r="C603" s="45"/>
      <c r="D603" s="45"/>
      <c r="E603" s="45"/>
    </row>
    <row r="604" spans="1:5" ht="15" x14ac:dyDescent="0.3">
      <c r="A604" s="11" t="s">
        <v>278</v>
      </c>
      <c r="B604" s="11" t="s">
        <v>274</v>
      </c>
      <c r="C604" s="11" t="s">
        <v>277</v>
      </c>
      <c r="D604" s="11" t="s">
        <v>275</v>
      </c>
      <c r="E604" s="11" t="s">
        <v>276</v>
      </c>
    </row>
    <row r="605" spans="1:5" ht="15" x14ac:dyDescent="0.3">
      <c r="A605" s="1" t="s">
        <v>44</v>
      </c>
      <c r="B605" s="7">
        <v>111</v>
      </c>
      <c r="C605" s="8">
        <v>0.32361516034985421</v>
      </c>
      <c r="D605" s="9">
        <v>109</v>
      </c>
      <c r="E605" s="10">
        <v>0.34062500000000001</v>
      </c>
    </row>
    <row r="606" spans="1:5" ht="15" x14ac:dyDescent="0.3">
      <c r="A606" s="1" t="s">
        <v>45</v>
      </c>
      <c r="B606" s="7">
        <v>145</v>
      </c>
      <c r="C606" s="8">
        <v>0.42274052478134111</v>
      </c>
      <c r="D606" s="9">
        <v>145</v>
      </c>
      <c r="E606" s="10">
        <v>0.453125</v>
      </c>
    </row>
    <row r="607" spans="1:5" ht="15" x14ac:dyDescent="0.3">
      <c r="A607" s="1" t="s">
        <v>46</v>
      </c>
      <c r="B607" s="7">
        <v>56</v>
      </c>
      <c r="C607" s="8">
        <v>0.16326530612244899</v>
      </c>
      <c r="D607" s="9">
        <v>36</v>
      </c>
      <c r="E607" s="10">
        <v>0.1125</v>
      </c>
    </row>
    <row r="608" spans="1:5" ht="15" x14ac:dyDescent="0.3">
      <c r="A608" s="1" t="s">
        <v>47</v>
      </c>
      <c r="B608" s="7">
        <v>20</v>
      </c>
      <c r="C608" s="8">
        <v>5.8309037900874633E-2</v>
      </c>
      <c r="D608" s="9">
        <v>14</v>
      </c>
      <c r="E608" s="10">
        <v>4.3749999999999997E-2</v>
      </c>
    </row>
    <row r="609" spans="1:5" ht="15" x14ac:dyDescent="0.3">
      <c r="A609" s="21" t="s">
        <v>48</v>
      </c>
      <c r="B609" s="22">
        <v>11</v>
      </c>
      <c r="C609" s="23">
        <v>3.2069970845481049E-2</v>
      </c>
      <c r="D609" s="24">
        <v>16</v>
      </c>
      <c r="E609" s="25">
        <v>0.05</v>
      </c>
    </row>
    <row r="610" spans="1:5" ht="15.6" x14ac:dyDescent="0.3">
      <c r="A610" s="31" t="s">
        <v>4</v>
      </c>
      <c r="B610" s="35">
        <f>SUBTOTAL(109,Table73[Pre Count])</f>
        <v>343</v>
      </c>
      <c r="C610" s="36">
        <f>SUBTOTAL(109,Table73[Pre Count %])</f>
        <v>1</v>
      </c>
      <c r="D610" s="37">
        <f>SUBTOTAL(109,Table73[Post Count])</f>
        <v>320</v>
      </c>
      <c r="E610" s="34">
        <f>SUBTOTAL(109,Table73[Post Count %])</f>
        <v>1</v>
      </c>
    </row>
    <row r="611" spans="1:5" ht="15" x14ac:dyDescent="0.3">
      <c r="A611" s="15"/>
      <c r="B611" s="7"/>
      <c r="C611" s="8"/>
      <c r="D611" s="9"/>
      <c r="E611" s="10"/>
    </row>
    <row r="612" spans="1:5" ht="15" x14ac:dyDescent="0.3">
      <c r="A612" s="45" t="s">
        <v>354</v>
      </c>
      <c r="B612" s="45"/>
      <c r="C612" s="45"/>
      <c r="D612" s="45"/>
      <c r="E612" s="45"/>
    </row>
    <row r="613" spans="1:5" ht="15" x14ac:dyDescent="0.3">
      <c r="A613" s="11" t="s">
        <v>278</v>
      </c>
      <c r="B613" s="11" t="s">
        <v>274</v>
      </c>
      <c r="C613" s="11" t="s">
        <v>277</v>
      </c>
      <c r="D613" s="11" t="s">
        <v>275</v>
      </c>
      <c r="E613" s="11" t="s">
        <v>276</v>
      </c>
    </row>
    <row r="614" spans="1:5" ht="15" x14ac:dyDescent="0.3">
      <c r="A614" s="1" t="s">
        <v>35</v>
      </c>
      <c r="B614" s="7">
        <v>34</v>
      </c>
      <c r="C614" s="8">
        <v>9.9125364431486881E-2</v>
      </c>
      <c r="D614" s="9">
        <v>24</v>
      </c>
      <c r="E614" s="10">
        <v>7.4999999999999997E-2</v>
      </c>
    </row>
    <row r="615" spans="1:5" ht="15" x14ac:dyDescent="0.3">
      <c r="A615" s="1" t="s">
        <v>49</v>
      </c>
      <c r="B615" s="7">
        <v>150</v>
      </c>
      <c r="C615" s="8">
        <v>0.43731778425655976</v>
      </c>
      <c r="D615" s="9">
        <v>118</v>
      </c>
      <c r="E615" s="10">
        <v>0.36875000000000002</v>
      </c>
    </row>
    <row r="616" spans="1:5" ht="15" x14ac:dyDescent="0.3">
      <c r="A616" s="1" t="s">
        <v>36</v>
      </c>
      <c r="B616" s="7">
        <v>59</v>
      </c>
      <c r="C616" s="8">
        <v>0.17201166180758018</v>
      </c>
      <c r="D616" s="9">
        <v>57</v>
      </c>
      <c r="E616" s="10">
        <v>0.17812500000000001</v>
      </c>
    </row>
    <row r="617" spans="1:5" ht="15" x14ac:dyDescent="0.3">
      <c r="A617" s="1" t="s">
        <v>37</v>
      </c>
      <c r="B617" s="7">
        <v>82</v>
      </c>
      <c r="C617" s="8">
        <v>0.239067055393586</v>
      </c>
      <c r="D617" s="9">
        <v>85</v>
      </c>
      <c r="E617" s="10">
        <v>0.265625</v>
      </c>
    </row>
    <row r="618" spans="1:5" ht="15" x14ac:dyDescent="0.3">
      <c r="A618" s="21" t="s">
        <v>38</v>
      </c>
      <c r="B618" s="22">
        <v>18</v>
      </c>
      <c r="C618" s="23">
        <v>5.2478134110787174E-2</v>
      </c>
      <c r="D618" s="24">
        <v>36</v>
      </c>
      <c r="E618" s="25">
        <v>0.1125</v>
      </c>
    </row>
    <row r="619" spans="1:5" ht="15.6" x14ac:dyDescent="0.3">
      <c r="A619" s="31" t="s">
        <v>4</v>
      </c>
      <c r="B619" s="35">
        <f>SUBTOTAL(109,Table74[Pre Count])</f>
        <v>343</v>
      </c>
      <c r="C619" s="36">
        <f>SUBTOTAL(109,Table74[Pre Count %])</f>
        <v>1</v>
      </c>
      <c r="D619" s="37">
        <f>SUBTOTAL(109,Table74[Post Count])</f>
        <v>320</v>
      </c>
      <c r="E619" s="34">
        <f>SUBTOTAL(109,Table74[Post Count %])</f>
        <v>1</v>
      </c>
    </row>
    <row r="620" spans="1:5" ht="15" x14ac:dyDescent="0.3">
      <c r="A620" s="15"/>
      <c r="B620" s="7"/>
      <c r="C620" s="8"/>
      <c r="D620" s="9"/>
      <c r="E620" s="10"/>
    </row>
    <row r="621" spans="1:5" ht="15" x14ac:dyDescent="0.3">
      <c r="A621" s="45" t="s">
        <v>355</v>
      </c>
      <c r="B621" s="45"/>
      <c r="C621" s="45"/>
      <c r="D621" s="45"/>
      <c r="E621" s="45"/>
    </row>
    <row r="622" spans="1:5" ht="15" x14ac:dyDescent="0.3">
      <c r="A622" s="11" t="s">
        <v>278</v>
      </c>
      <c r="B622" s="11" t="s">
        <v>274</v>
      </c>
      <c r="C622" s="11" t="s">
        <v>277</v>
      </c>
      <c r="D622" s="11" t="s">
        <v>275</v>
      </c>
      <c r="E622" s="11" t="s">
        <v>276</v>
      </c>
    </row>
    <row r="623" spans="1:5" ht="15" x14ac:dyDescent="0.3">
      <c r="A623" s="1" t="s">
        <v>50</v>
      </c>
      <c r="B623" s="7">
        <v>39</v>
      </c>
      <c r="C623" s="8">
        <v>0.11370262390670555</v>
      </c>
      <c r="D623" s="9">
        <v>21</v>
      </c>
      <c r="E623" s="10">
        <v>6.5625000000000003E-2</v>
      </c>
    </row>
    <row r="624" spans="1:5" ht="15" x14ac:dyDescent="0.3">
      <c r="A624" s="1" t="s">
        <v>15</v>
      </c>
      <c r="B624" s="7">
        <v>22</v>
      </c>
      <c r="C624" s="8">
        <v>6.4139941690962099E-2</v>
      </c>
      <c r="D624" s="9">
        <v>14</v>
      </c>
      <c r="E624" s="10">
        <v>4.3749999999999997E-2</v>
      </c>
    </row>
    <row r="625" spans="1:5" ht="15" x14ac:dyDescent="0.3">
      <c r="A625" s="1" t="s">
        <v>16</v>
      </c>
      <c r="B625" s="7">
        <v>43</v>
      </c>
      <c r="C625" s="8">
        <v>0.12536443148688048</v>
      </c>
      <c r="D625" s="9">
        <v>41</v>
      </c>
      <c r="E625" s="10">
        <v>0.12812499999999999</v>
      </c>
    </row>
    <row r="626" spans="1:5" ht="15" x14ac:dyDescent="0.3">
      <c r="A626" s="1" t="s">
        <v>17</v>
      </c>
      <c r="B626" s="7">
        <v>164</v>
      </c>
      <c r="C626" s="8">
        <v>0.478134110787172</v>
      </c>
      <c r="D626" s="9">
        <v>145</v>
      </c>
      <c r="E626" s="10">
        <v>0.453125</v>
      </c>
    </row>
    <row r="627" spans="1:5" ht="15.6" x14ac:dyDescent="0.3">
      <c r="A627" s="21" t="s">
        <v>18</v>
      </c>
      <c r="B627" s="22">
        <v>75</v>
      </c>
      <c r="C627" s="23">
        <v>0.21865889212827988</v>
      </c>
      <c r="D627" s="24">
        <v>99</v>
      </c>
      <c r="E627" s="25">
        <v>0.30937500000000001</v>
      </c>
    </row>
    <row r="628" spans="1:5" ht="15.6" x14ac:dyDescent="0.3">
      <c r="A628" s="31" t="s">
        <v>4</v>
      </c>
      <c r="B628" s="35">
        <f>SUBTOTAL(109,Table75[Pre Count])</f>
        <v>343</v>
      </c>
      <c r="C628" s="36">
        <f>SUBTOTAL(109,Table75[Pre Count %])</f>
        <v>1</v>
      </c>
      <c r="D628" s="37">
        <f>SUBTOTAL(109,Table75[Post Count])</f>
        <v>320</v>
      </c>
      <c r="E628" s="34">
        <f>SUBTOTAL(109,Table75[Post Count %])</f>
        <v>1</v>
      </c>
    </row>
    <row r="629" spans="1:5" ht="15" x14ac:dyDescent="0.3">
      <c r="A629" s="15"/>
      <c r="B629" s="7"/>
      <c r="C629" s="8"/>
      <c r="D629" s="9"/>
      <c r="E629" s="10"/>
    </row>
    <row r="630" spans="1:5" ht="15" x14ac:dyDescent="0.3">
      <c r="A630" s="45" t="s">
        <v>356</v>
      </c>
      <c r="B630" s="45"/>
      <c r="C630" s="45"/>
      <c r="D630" s="45"/>
      <c r="E630" s="45"/>
    </row>
    <row r="631" spans="1:5" ht="15" x14ac:dyDescent="0.3">
      <c r="A631" s="11" t="s">
        <v>278</v>
      </c>
      <c r="B631" s="11" t="s">
        <v>274</v>
      </c>
      <c r="C631" s="11" t="s">
        <v>277</v>
      </c>
      <c r="D631" s="11" t="s">
        <v>275</v>
      </c>
      <c r="E631" s="11" t="s">
        <v>276</v>
      </c>
    </row>
    <row r="632" spans="1:5" ht="15" x14ac:dyDescent="0.3">
      <c r="A632" s="1" t="s">
        <v>52</v>
      </c>
      <c r="B632" s="7">
        <v>229</v>
      </c>
      <c r="C632" s="8">
        <v>0.66959064327485374</v>
      </c>
      <c r="D632" s="9">
        <v>213</v>
      </c>
      <c r="E632" s="10">
        <v>0.66981132075471694</v>
      </c>
    </row>
    <row r="633" spans="1:5" ht="15" x14ac:dyDescent="0.3">
      <c r="A633" s="1" t="s">
        <v>53</v>
      </c>
      <c r="B633" s="7">
        <v>78</v>
      </c>
      <c r="C633" s="8">
        <v>0.22807017543859648</v>
      </c>
      <c r="D633" s="9">
        <v>68</v>
      </c>
      <c r="E633" s="10">
        <v>0.21383647798742139</v>
      </c>
    </row>
    <row r="634" spans="1:5" ht="15" x14ac:dyDescent="0.3">
      <c r="A634" s="1" t="s">
        <v>54</v>
      </c>
      <c r="B634" s="7">
        <v>0</v>
      </c>
      <c r="C634" s="8">
        <v>0</v>
      </c>
      <c r="D634" s="9">
        <v>1</v>
      </c>
      <c r="E634" s="10">
        <v>3.1446540880503151E-3</v>
      </c>
    </row>
    <row r="635" spans="1:5" ht="15" x14ac:dyDescent="0.3">
      <c r="A635" s="1" t="s">
        <v>55</v>
      </c>
      <c r="B635" s="7">
        <v>35</v>
      </c>
      <c r="C635" s="8">
        <v>0.1023391812865497</v>
      </c>
      <c r="D635" s="9">
        <v>36</v>
      </c>
      <c r="E635" s="10">
        <v>0.11320754716981134</v>
      </c>
    </row>
    <row r="636" spans="1:5" ht="15" x14ac:dyDescent="0.3">
      <c r="A636" s="1" t="s">
        <v>4</v>
      </c>
      <c r="B636" s="7">
        <v>342</v>
      </c>
      <c r="C636" s="8">
        <v>1</v>
      </c>
      <c r="D636" s="9">
        <v>318</v>
      </c>
      <c r="E636" s="10">
        <v>1</v>
      </c>
    </row>
    <row r="637" spans="1:5" ht="15" x14ac:dyDescent="0.3">
      <c r="A637" s="1" t="s">
        <v>54</v>
      </c>
      <c r="B637" s="7">
        <v>377</v>
      </c>
      <c r="C637" s="8">
        <v>1</v>
      </c>
      <c r="D637" s="9">
        <v>342</v>
      </c>
      <c r="E637" s="10">
        <v>0.99708454810495628</v>
      </c>
    </row>
    <row r="638" spans="1:5" ht="15.6" x14ac:dyDescent="0.3">
      <c r="A638" s="21" t="s">
        <v>56</v>
      </c>
      <c r="B638" s="22">
        <v>0</v>
      </c>
      <c r="C638" s="23">
        <v>0</v>
      </c>
      <c r="D638" s="24">
        <v>1</v>
      </c>
      <c r="E638" s="25">
        <v>2.9154518950437317E-3</v>
      </c>
    </row>
    <row r="639" spans="1:5" ht="15.6" x14ac:dyDescent="0.3">
      <c r="A639" s="31" t="s">
        <v>4</v>
      </c>
      <c r="B639" s="35">
        <f>SUBTOTAL(109,Table76[Pre Count])</f>
        <v>1061</v>
      </c>
      <c r="C639" s="36">
        <f>SUBTOTAL(109,Table76[Pre Count %])</f>
        <v>3</v>
      </c>
      <c r="D639" s="37">
        <f>SUBTOTAL(109,Table76[Post Count])</f>
        <v>979</v>
      </c>
      <c r="E639" s="34">
        <f>SUBTOTAL(109,Table76[Post Count %])</f>
        <v>3</v>
      </c>
    </row>
    <row r="640" spans="1:5" ht="15" x14ac:dyDescent="0.3">
      <c r="A640" s="1" t="s">
        <v>4</v>
      </c>
      <c r="B640" s="7">
        <v>377</v>
      </c>
      <c r="C640" s="8">
        <v>1</v>
      </c>
      <c r="D640" s="9">
        <v>343</v>
      </c>
      <c r="E640" s="10">
        <v>1</v>
      </c>
    </row>
    <row r="641" spans="1:5" ht="15" x14ac:dyDescent="0.3">
      <c r="A641" s="15"/>
      <c r="B641" s="7"/>
      <c r="C641" s="8"/>
      <c r="D641" s="9"/>
      <c r="E641" s="10"/>
    </row>
    <row r="642" spans="1:5" ht="15" x14ac:dyDescent="0.3">
      <c r="A642" s="45" t="s">
        <v>357</v>
      </c>
      <c r="B642" s="45"/>
      <c r="C642" s="45"/>
      <c r="D642" s="45"/>
      <c r="E642" s="45"/>
    </row>
    <row r="643" spans="1:5" ht="15" x14ac:dyDescent="0.3">
      <c r="A643" s="11" t="s">
        <v>278</v>
      </c>
      <c r="B643" s="11" t="s">
        <v>274</v>
      </c>
      <c r="C643" s="11" t="s">
        <v>277</v>
      </c>
      <c r="D643" s="11" t="s">
        <v>275</v>
      </c>
      <c r="E643" s="11" t="s">
        <v>276</v>
      </c>
    </row>
    <row r="644" spans="1:5" ht="15" x14ac:dyDescent="0.3">
      <c r="A644" s="1" t="s">
        <v>0</v>
      </c>
      <c r="B644" s="7">
        <v>35</v>
      </c>
      <c r="C644" s="8">
        <v>9.2838196286472149E-2</v>
      </c>
      <c r="D644" s="9">
        <v>25</v>
      </c>
      <c r="E644" s="10">
        <v>7.2886297376093298E-2</v>
      </c>
    </row>
    <row r="645" spans="1:5" ht="15" x14ac:dyDescent="0.3">
      <c r="A645" s="1" t="s">
        <v>57</v>
      </c>
      <c r="B645" s="7">
        <v>10</v>
      </c>
      <c r="C645" s="8">
        <v>2.6525198938992044E-2</v>
      </c>
      <c r="D645" s="9">
        <v>5</v>
      </c>
      <c r="E645" s="10">
        <v>1.4577259475218658E-2</v>
      </c>
    </row>
    <row r="646" spans="1:5" ht="15" x14ac:dyDescent="0.3">
      <c r="A646" s="1" t="s">
        <v>58</v>
      </c>
      <c r="B646" s="7">
        <v>34</v>
      </c>
      <c r="C646" s="8">
        <v>9.0185676392572939E-2</v>
      </c>
      <c r="D646" s="9">
        <v>24</v>
      </c>
      <c r="E646" s="10">
        <v>6.9970845481049565E-2</v>
      </c>
    </row>
    <row r="647" spans="1:5" ht="15" x14ac:dyDescent="0.3">
      <c r="A647" s="1" t="s">
        <v>59</v>
      </c>
      <c r="B647" s="7">
        <v>44</v>
      </c>
      <c r="C647" s="8">
        <v>0.11671087533156499</v>
      </c>
      <c r="D647" s="9">
        <v>41</v>
      </c>
      <c r="E647" s="10">
        <v>0.119533527696793</v>
      </c>
    </row>
    <row r="648" spans="1:5" ht="15" x14ac:dyDescent="0.3">
      <c r="A648" s="1" t="s">
        <v>60</v>
      </c>
      <c r="B648" s="7">
        <v>52</v>
      </c>
      <c r="C648" s="8">
        <v>0.13793103448275862</v>
      </c>
      <c r="D648" s="9">
        <v>42</v>
      </c>
      <c r="E648" s="10">
        <v>0.12244897959183673</v>
      </c>
    </row>
    <row r="649" spans="1:5" ht="15" x14ac:dyDescent="0.3">
      <c r="A649" s="1" t="s">
        <v>61</v>
      </c>
      <c r="B649" s="7">
        <v>41</v>
      </c>
      <c r="C649" s="8">
        <v>0.10875331564986737</v>
      </c>
      <c r="D649" s="9">
        <v>42</v>
      </c>
      <c r="E649" s="10">
        <v>0.12244897959183673</v>
      </c>
    </row>
    <row r="650" spans="1:5" ht="15" x14ac:dyDescent="0.3">
      <c r="A650" s="1" t="s">
        <v>62</v>
      </c>
      <c r="B650" s="7">
        <v>46</v>
      </c>
      <c r="C650" s="8">
        <v>0.1220159151193634</v>
      </c>
      <c r="D650" s="9">
        <v>47</v>
      </c>
      <c r="E650" s="10">
        <v>0.13702623906705538</v>
      </c>
    </row>
    <row r="651" spans="1:5" ht="15" x14ac:dyDescent="0.3">
      <c r="A651" s="1" t="s">
        <v>63</v>
      </c>
      <c r="B651" s="7">
        <v>23</v>
      </c>
      <c r="C651" s="8">
        <v>6.1007957559681698E-2</v>
      </c>
      <c r="D651" s="9">
        <v>27</v>
      </c>
      <c r="E651" s="10">
        <v>7.8717201166180764E-2</v>
      </c>
    </row>
    <row r="652" spans="1:5" ht="15" x14ac:dyDescent="0.3">
      <c r="A652" s="1" t="s">
        <v>64</v>
      </c>
      <c r="B652" s="7">
        <v>25</v>
      </c>
      <c r="C652" s="8">
        <v>6.6312997347480113E-2</v>
      </c>
      <c r="D652" s="9">
        <v>27</v>
      </c>
      <c r="E652" s="10">
        <v>7.8717201166180764E-2</v>
      </c>
    </row>
    <row r="653" spans="1:5" ht="15" x14ac:dyDescent="0.3">
      <c r="A653" s="1" t="s">
        <v>65</v>
      </c>
      <c r="B653" s="7">
        <v>16</v>
      </c>
      <c r="C653" s="8">
        <v>4.2440318302387266E-2</v>
      </c>
      <c r="D653" s="9">
        <v>17</v>
      </c>
      <c r="E653" s="10">
        <v>4.9562682215743441E-2</v>
      </c>
    </row>
    <row r="654" spans="1:5" ht="15" x14ac:dyDescent="0.3">
      <c r="A654" s="1" t="s">
        <v>66</v>
      </c>
      <c r="B654" s="7">
        <v>2</v>
      </c>
      <c r="C654" s="8">
        <v>5.3050397877984082E-3</v>
      </c>
      <c r="D654" s="9">
        <v>1</v>
      </c>
      <c r="E654" s="10">
        <v>2.9154518950437317E-3</v>
      </c>
    </row>
    <row r="655" spans="1:5" ht="15" x14ac:dyDescent="0.3">
      <c r="A655" s="21" t="s">
        <v>55</v>
      </c>
      <c r="B655" s="22">
        <v>49</v>
      </c>
      <c r="C655" s="23">
        <v>0.129973474801061</v>
      </c>
      <c r="D655" s="24">
        <v>45</v>
      </c>
      <c r="E655" s="25">
        <v>0.13119533527696792</v>
      </c>
    </row>
    <row r="656" spans="1:5" ht="15.6" x14ac:dyDescent="0.3">
      <c r="A656" s="31" t="s">
        <v>4</v>
      </c>
      <c r="B656" s="35">
        <f>SUBTOTAL(109,Table77[Pre Count])</f>
        <v>377</v>
      </c>
      <c r="C656" s="36">
        <f>SUBTOTAL(109,Table77[Pre Count %])</f>
        <v>1</v>
      </c>
      <c r="D656" s="37">
        <f>SUBTOTAL(109,Table77[Post Count])</f>
        <v>343</v>
      </c>
      <c r="E656" s="34">
        <f>SUBTOTAL(109,Table77[Post Count %])</f>
        <v>1</v>
      </c>
    </row>
    <row r="657" spans="1:5" ht="15" x14ac:dyDescent="0.3">
      <c r="A657" s="15"/>
      <c r="B657" s="7"/>
      <c r="C657" s="8"/>
      <c r="D657" s="9"/>
      <c r="E657" s="10"/>
    </row>
    <row r="658" spans="1:5" ht="15" x14ac:dyDescent="0.3">
      <c r="A658" s="45" t="s">
        <v>358</v>
      </c>
      <c r="B658" s="45"/>
      <c r="C658" s="45"/>
      <c r="D658" s="45"/>
      <c r="E658" s="45"/>
    </row>
    <row r="659" spans="1:5" ht="15" x14ac:dyDescent="0.3">
      <c r="A659" s="11" t="s">
        <v>278</v>
      </c>
      <c r="B659" s="11" t="s">
        <v>274</v>
      </c>
      <c r="C659" s="11" t="s">
        <v>277</v>
      </c>
      <c r="D659" s="11" t="s">
        <v>275</v>
      </c>
      <c r="E659" s="11" t="s">
        <v>276</v>
      </c>
    </row>
    <row r="660" spans="1:5" ht="15" x14ac:dyDescent="0.3">
      <c r="A660" s="1" t="s">
        <v>0</v>
      </c>
      <c r="B660" s="7">
        <v>35</v>
      </c>
      <c r="C660" s="8">
        <v>9.2838196286472149E-2</v>
      </c>
      <c r="D660" s="9">
        <v>25</v>
      </c>
      <c r="E660" s="10">
        <v>7.2886297376093298E-2</v>
      </c>
    </row>
    <row r="661" spans="1:5" ht="15" x14ac:dyDescent="0.3">
      <c r="A661" s="1" t="s">
        <v>51</v>
      </c>
      <c r="B661" s="7">
        <v>278</v>
      </c>
      <c r="C661" s="8">
        <v>0.7374005305039788</v>
      </c>
      <c r="D661" s="9">
        <v>260</v>
      </c>
      <c r="E661" s="10">
        <v>0.75801749271137031</v>
      </c>
    </row>
    <row r="662" spans="1:5" ht="15" x14ac:dyDescent="0.3">
      <c r="A662" s="1" t="s">
        <v>55</v>
      </c>
      <c r="B662" s="7">
        <v>45</v>
      </c>
      <c r="C662" s="8">
        <v>0.11936339522546419</v>
      </c>
      <c r="D662" s="9">
        <v>42</v>
      </c>
      <c r="E662" s="10">
        <v>0.12244897959183673</v>
      </c>
    </row>
    <row r="663" spans="1:5" ht="15" x14ac:dyDescent="0.3">
      <c r="A663" s="21" t="s">
        <v>67</v>
      </c>
      <c r="B663" s="22">
        <v>19</v>
      </c>
      <c r="C663" s="23">
        <v>5.0397877984084884E-2</v>
      </c>
      <c r="D663" s="24">
        <v>16</v>
      </c>
      <c r="E663" s="25">
        <v>4.6647230320699708E-2</v>
      </c>
    </row>
    <row r="664" spans="1:5" ht="15.6" x14ac:dyDescent="0.3">
      <c r="A664" s="31" t="s">
        <v>4</v>
      </c>
      <c r="B664" s="35">
        <f>SUBTOTAL(109,Table78[Pre Count])</f>
        <v>377</v>
      </c>
      <c r="C664" s="36">
        <f>SUBTOTAL(109,Table78[Pre Count %])</f>
        <v>1</v>
      </c>
      <c r="D664" s="37">
        <f>SUBTOTAL(109,Table78[Post Count])</f>
        <v>343</v>
      </c>
      <c r="E664" s="34">
        <f>SUBTOTAL(109,Table78[Post Count %])</f>
        <v>1</v>
      </c>
    </row>
    <row r="665" spans="1:5" ht="15" x14ac:dyDescent="0.3">
      <c r="A665" s="15"/>
      <c r="B665" s="7"/>
      <c r="C665" s="8"/>
      <c r="D665" s="9"/>
      <c r="E665" s="10"/>
    </row>
    <row r="666" spans="1:5" ht="15" x14ac:dyDescent="0.3">
      <c r="A666" s="45" t="s">
        <v>359</v>
      </c>
      <c r="B666" s="45"/>
      <c r="C666" s="45"/>
      <c r="D666" s="45"/>
      <c r="E666" s="45"/>
    </row>
    <row r="667" spans="1:5" ht="15" x14ac:dyDescent="0.3">
      <c r="A667" s="13" t="s">
        <v>278</v>
      </c>
      <c r="B667" s="13" t="s">
        <v>274</v>
      </c>
      <c r="C667" s="13" t="s">
        <v>277</v>
      </c>
      <c r="D667" s="13" t="s">
        <v>275</v>
      </c>
      <c r="E667" s="13" t="s">
        <v>276</v>
      </c>
    </row>
    <row r="668" spans="1:5" ht="15.6" x14ac:dyDescent="0.3">
      <c r="A668" s="38" t="s">
        <v>279</v>
      </c>
      <c r="B668" s="39" t="s">
        <v>280</v>
      </c>
      <c r="C668" s="40" t="s">
        <v>281</v>
      </c>
      <c r="D668" s="41" t="s">
        <v>282</v>
      </c>
      <c r="E668" s="42" t="s">
        <v>283</v>
      </c>
    </row>
    <row r="669" spans="1:5" ht="15" x14ac:dyDescent="0.3">
      <c r="A669" s="1" t="s">
        <v>0</v>
      </c>
      <c r="B669" s="7">
        <v>35</v>
      </c>
      <c r="C669" s="8">
        <v>9.2838196286472149E-2</v>
      </c>
      <c r="D669" s="9">
        <v>25</v>
      </c>
      <c r="E669" s="10">
        <v>7.2886297376093298E-2</v>
      </c>
    </row>
    <row r="670" spans="1:5" ht="15" x14ac:dyDescent="0.3">
      <c r="A670" s="1" t="s">
        <v>68</v>
      </c>
      <c r="B670" s="7">
        <v>34</v>
      </c>
      <c r="C670" s="8">
        <v>9.0185676392572939E-2</v>
      </c>
      <c r="D670" s="9">
        <v>34</v>
      </c>
      <c r="E670" s="10">
        <v>9.9125364431486881E-2</v>
      </c>
    </row>
    <row r="671" spans="1:5" ht="15" x14ac:dyDescent="0.3">
      <c r="A671" s="1" t="s">
        <v>69</v>
      </c>
      <c r="B671" s="7">
        <v>19</v>
      </c>
      <c r="C671" s="8">
        <v>5.0397877984084884E-2</v>
      </c>
      <c r="D671" s="9">
        <v>26</v>
      </c>
      <c r="E671" s="10">
        <v>7.5801749271137031E-2</v>
      </c>
    </row>
    <row r="672" spans="1:5" ht="15" x14ac:dyDescent="0.3">
      <c r="A672" s="1" t="s">
        <v>70</v>
      </c>
      <c r="B672" s="7">
        <v>44</v>
      </c>
      <c r="C672" s="8">
        <v>0.11671087533156499</v>
      </c>
      <c r="D672" s="9">
        <v>34</v>
      </c>
      <c r="E672" s="10">
        <v>9.9125364431486881E-2</v>
      </c>
    </row>
    <row r="673" spans="1:5" ht="15" x14ac:dyDescent="0.3">
      <c r="A673" s="1" t="s">
        <v>71</v>
      </c>
      <c r="B673" s="7">
        <v>2</v>
      </c>
      <c r="C673" s="8">
        <v>5.3050397877984082E-3</v>
      </c>
      <c r="D673" s="9">
        <v>0</v>
      </c>
      <c r="E673" s="10">
        <v>0</v>
      </c>
    </row>
    <row r="674" spans="1:5" ht="15" x14ac:dyDescent="0.3">
      <c r="A674" s="1" t="s">
        <v>72</v>
      </c>
      <c r="B674" s="7">
        <v>1</v>
      </c>
      <c r="C674" s="8">
        <v>2.6525198938992041E-3</v>
      </c>
      <c r="D674" s="9">
        <v>1</v>
      </c>
      <c r="E674" s="10">
        <v>2.9154518950437317E-3</v>
      </c>
    </row>
    <row r="675" spans="1:5" ht="15" x14ac:dyDescent="0.3">
      <c r="A675" s="1" t="s">
        <v>73</v>
      </c>
      <c r="B675" s="7">
        <v>1</v>
      </c>
      <c r="C675" s="8">
        <v>2.6525198938992041E-3</v>
      </c>
      <c r="D675" s="9">
        <v>2</v>
      </c>
      <c r="E675" s="10">
        <v>5.8309037900874635E-3</v>
      </c>
    </row>
    <row r="676" spans="1:5" ht="15" x14ac:dyDescent="0.3">
      <c r="A676" s="1" t="s">
        <v>74</v>
      </c>
      <c r="B676" s="7">
        <v>51</v>
      </c>
      <c r="C676" s="8">
        <v>0.13527851458885942</v>
      </c>
      <c r="D676" s="9">
        <v>56</v>
      </c>
      <c r="E676" s="10">
        <v>0.16326530612244899</v>
      </c>
    </row>
    <row r="677" spans="1:5" ht="15" x14ac:dyDescent="0.3">
      <c r="A677" s="1" t="s">
        <v>75</v>
      </c>
      <c r="B677" s="7">
        <v>33</v>
      </c>
      <c r="C677" s="8">
        <v>8.7533156498673742E-2</v>
      </c>
      <c r="D677" s="9">
        <v>28</v>
      </c>
      <c r="E677" s="10">
        <v>8.1632653061224497E-2</v>
      </c>
    </row>
    <row r="678" spans="1:5" ht="15" x14ac:dyDescent="0.3">
      <c r="A678" s="1" t="s">
        <v>76</v>
      </c>
      <c r="B678" s="7">
        <v>7</v>
      </c>
      <c r="C678" s="8">
        <v>1.8567639257294429E-2</v>
      </c>
      <c r="D678" s="9">
        <v>6</v>
      </c>
      <c r="E678" s="10">
        <v>1.7492711370262391E-2</v>
      </c>
    </row>
    <row r="679" spans="1:5" ht="15" x14ac:dyDescent="0.3">
      <c r="A679" s="1" t="s">
        <v>77</v>
      </c>
      <c r="B679" s="7">
        <v>8</v>
      </c>
      <c r="C679" s="8">
        <v>2.1220159151193633E-2</v>
      </c>
      <c r="D679" s="9">
        <v>9</v>
      </c>
      <c r="E679" s="10">
        <v>2.6239067055393587E-2</v>
      </c>
    </row>
    <row r="680" spans="1:5" ht="15" x14ac:dyDescent="0.3">
      <c r="A680" s="1" t="s">
        <v>78</v>
      </c>
      <c r="B680" s="7">
        <v>1</v>
      </c>
      <c r="C680" s="8">
        <v>2.6525198938992041E-3</v>
      </c>
      <c r="D680" s="9">
        <v>2</v>
      </c>
      <c r="E680" s="10">
        <v>5.8309037900874635E-3</v>
      </c>
    </row>
    <row r="681" spans="1:5" ht="15" x14ac:dyDescent="0.3">
      <c r="A681" s="1" t="s">
        <v>79</v>
      </c>
      <c r="B681" s="7">
        <v>1</v>
      </c>
      <c r="C681" s="8">
        <v>2.6525198938992041E-3</v>
      </c>
      <c r="D681" s="9">
        <v>0</v>
      </c>
      <c r="E681" s="10">
        <v>0</v>
      </c>
    </row>
    <row r="682" spans="1:5" ht="15" x14ac:dyDescent="0.3">
      <c r="A682" s="1" t="s">
        <v>80</v>
      </c>
      <c r="B682" s="7">
        <v>4</v>
      </c>
      <c r="C682" s="8">
        <v>1.0610079575596816E-2</v>
      </c>
      <c r="D682" s="9">
        <v>4</v>
      </c>
      <c r="E682" s="10">
        <v>1.1661807580174927E-2</v>
      </c>
    </row>
    <row r="683" spans="1:5" ht="15" x14ac:dyDescent="0.3">
      <c r="A683" s="1" t="s">
        <v>81</v>
      </c>
      <c r="B683" s="7">
        <v>57</v>
      </c>
      <c r="C683" s="8">
        <v>0.15119363395225463</v>
      </c>
      <c r="D683" s="9">
        <v>51</v>
      </c>
      <c r="E683" s="10">
        <v>0.14868804664723032</v>
      </c>
    </row>
    <row r="684" spans="1:5" ht="15" x14ac:dyDescent="0.3">
      <c r="A684" s="1" t="s">
        <v>54</v>
      </c>
      <c r="B684" s="7">
        <v>1</v>
      </c>
      <c r="C684" s="8">
        <v>2.6525198938992041E-3</v>
      </c>
      <c r="D684" s="9">
        <v>5</v>
      </c>
      <c r="E684" s="10">
        <v>1.4577259475218658E-2</v>
      </c>
    </row>
    <row r="685" spans="1:5" ht="15" x14ac:dyDescent="0.3">
      <c r="A685" s="1" t="s">
        <v>82</v>
      </c>
      <c r="B685" s="7">
        <v>1</v>
      </c>
      <c r="C685" s="8">
        <v>2.6525198938992041E-3</v>
      </c>
      <c r="D685" s="9">
        <v>2</v>
      </c>
      <c r="E685" s="10">
        <v>5.8309037900874635E-3</v>
      </c>
    </row>
    <row r="686" spans="1:5" ht="15" x14ac:dyDescent="0.3">
      <c r="A686" s="1" t="s">
        <v>55</v>
      </c>
      <c r="B686" s="7">
        <v>70</v>
      </c>
      <c r="C686" s="8">
        <v>0.1856763925729443</v>
      </c>
      <c r="D686" s="9">
        <v>53</v>
      </c>
      <c r="E686" s="10">
        <v>0.15451895043731778</v>
      </c>
    </row>
    <row r="687" spans="1:5" ht="15" x14ac:dyDescent="0.3">
      <c r="A687" s="1" t="s">
        <v>83</v>
      </c>
      <c r="B687" s="7">
        <v>2</v>
      </c>
      <c r="C687" s="8">
        <v>5.3050397877984082E-3</v>
      </c>
      <c r="D687" s="9">
        <v>2</v>
      </c>
      <c r="E687" s="10">
        <v>5.8309037900874635E-3</v>
      </c>
    </row>
    <row r="688" spans="1:5" ht="15" x14ac:dyDescent="0.3">
      <c r="A688" s="1" t="s">
        <v>84</v>
      </c>
      <c r="B688" s="7">
        <v>2</v>
      </c>
      <c r="C688" s="8">
        <v>5.3050397877984082E-3</v>
      </c>
      <c r="D688" s="9">
        <v>1</v>
      </c>
      <c r="E688" s="10">
        <v>2.9154518950437317E-3</v>
      </c>
    </row>
    <row r="689" spans="1:5" ht="15" x14ac:dyDescent="0.3">
      <c r="A689" s="1" t="s">
        <v>85</v>
      </c>
      <c r="B689" s="7">
        <v>0</v>
      </c>
      <c r="C689" s="8">
        <v>0</v>
      </c>
      <c r="D689" s="9">
        <v>1</v>
      </c>
      <c r="E689" s="10">
        <v>2.9154518950437317E-3</v>
      </c>
    </row>
    <row r="690" spans="1:5" ht="15" x14ac:dyDescent="0.3">
      <c r="A690" s="1" t="s">
        <v>86</v>
      </c>
      <c r="B690" s="7">
        <v>1</v>
      </c>
      <c r="C690" s="8">
        <v>2.6525198938992041E-3</v>
      </c>
      <c r="D690" s="9">
        <v>0</v>
      </c>
      <c r="E690" s="10">
        <v>0</v>
      </c>
    </row>
    <row r="691" spans="1:5" ht="15" x14ac:dyDescent="0.3">
      <c r="A691" s="21" t="s">
        <v>87</v>
      </c>
      <c r="B691" s="22">
        <v>2</v>
      </c>
      <c r="C691" s="23">
        <v>5.3050397877984082E-3</v>
      </c>
      <c r="D691" s="24">
        <v>1</v>
      </c>
      <c r="E691" s="25">
        <v>2.9154518950437317E-3</v>
      </c>
    </row>
    <row r="692" spans="1:5" ht="15.6" x14ac:dyDescent="0.3">
      <c r="A692" s="31" t="s">
        <v>4</v>
      </c>
      <c r="B692" s="35">
        <f>SUBTOTAL(109,Table80[Column2])</f>
        <v>377</v>
      </c>
      <c r="C692" s="36">
        <f>SUBTOTAL(109,Table80[Column3])</f>
        <v>1.0000000000000002</v>
      </c>
      <c r="D692" s="37">
        <f>SUBTOTAL(109,Table80[Column4])</f>
        <v>343</v>
      </c>
      <c r="E692" s="34">
        <f>SUBTOTAL(109,Table80[Column5])</f>
        <v>0.99999999999999989</v>
      </c>
    </row>
    <row r="693" spans="1:5" ht="15" x14ac:dyDescent="0.3">
      <c r="A693" s="1" t="s">
        <v>54</v>
      </c>
      <c r="B693" s="7">
        <v>376</v>
      </c>
      <c r="C693" s="8">
        <v>0.99734748010610075</v>
      </c>
      <c r="D693" s="9">
        <v>338</v>
      </c>
      <c r="E693" s="10">
        <v>0.98542274052478129</v>
      </c>
    </row>
    <row r="694" spans="1:5" ht="15" x14ac:dyDescent="0.3">
      <c r="A694" s="1" t="s">
        <v>4</v>
      </c>
      <c r="B694" s="7">
        <v>377</v>
      </c>
      <c r="C694" s="8">
        <v>1</v>
      </c>
      <c r="D694" s="9">
        <v>343</v>
      </c>
      <c r="E694" s="10">
        <v>1</v>
      </c>
    </row>
    <row r="695" spans="1:5" ht="15" x14ac:dyDescent="0.3">
      <c r="A695" s="15"/>
      <c r="B695" s="7"/>
      <c r="C695" s="8"/>
      <c r="D695" s="9"/>
      <c r="E695" s="10"/>
    </row>
    <row r="696" spans="1:5" ht="15" x14ac:dyDescent="0.3">
      <c r="A696" s="45" t="s">
        <v>360</v>
      </c>
      <c r="B696" s="45"/>
      <c r="C696" s="45"/>
      <c r="D696" s="45"/>
      <c r="E696" s="45"/>
    </row>
    <row r="697" spans="1:5" ht="15" x14ac:dyDescent="0.3">
      <c r="A697" s="11" t="s">
        <v>278</v>
      </c>
      <c r="B697" s="11" t="s">
        <v>274</v>
      </c>
      <c r="C697" s="11" t="s">
        <v>277</v>
      </c>
      <c r="D697" s="11" t="s">
        <v>275</v>
      </c>
      <c r="E697" s="11" t="s">
        <v>276</v>
      </c>
    </row>
    <row r="698" spans="1:5" ht="15" x14ac:dyDescent="0.3">
      <c r="A698" s="1" t="s">
        <v>0</v>
      </c>
      <c r="B698" s="7">
        <v>35</v>
      </c>
      <c r="C698" s="8">
        <v>9.2838196286472149E-2</v>
      </c>
      <c r="D698" s="9">
        <v>25</v>
      </c>
      <c r="E698" s="10">
        <v>7.2886297376093298E-2</v>
      </c>
    </row>
    <row r="699" spans="1:5" ht="15" x14ac:dyDescent="0.3">
      <c r="A699" s="1" t="s">
        <v>88</v>
      </c>
      <c r="B699" s="7">
        <v>1</v>
      </c>
      <c r="C699" s="8">
        <v>2.6525198938992041E-3</v>
      </c>
      <c r="D699" s="9">
        <v>5</v>
      </c>
      <c r="E699" s="10">
        <v>1.4577259475218658E-2</v>
      </c>
    </row>
    <row r="700" spans="1:5" ht="15" x14ac:dyDescent="0.3">
      <c r="A700" s="1" t="s">
        <v>89</v>
      </c>
      <c r="B700" s="7">
        <v>3</v>
      </c>
      <c r="C700" s="8">
        <v>7.9575596816976128E-3</v>
      </c>
      <c r="D700" s="9">
        <v>2</v>
      </c>
      <c r="E700" s="10">
        <v>5.8309037900874635E-3</v>
      </c>
    </row>
    <row r="701" spans="1:5" ht="15" x14ac:dyDescent="0.3">
      <c r="A701" s="1" t="s">
        <v>90</v>
      </c>
      <c r="B701" s="7">
        <v>218</v>
      </c>
      <c r="C701" s="8">
        <v>0.57824933687002655</v>
      </c>
      <c r="D701" s="9">
        <v>205</v>
      </c>
      <c r="E701" s="10">
        <v>0.59766763848396498</v>
      </c>
    </row>
    <row r="702" spans="1:5" ht="15" x14ac:dyDescent="0.3">
      <c r="A702" s="1" t="s">
        <v>91</v>
      </c>
      <c r="B702" s="7">
        <v>3</v>
      </c>
      <c r="C702" s="8">
        <v>7.9575596816976128E-3</v>
      </c>
      <c r="D702" s="9">
        <v>4</v>
      </c>
      <c r="E702" s="10">
        <v>1.1661807580174927E-2</v>
      </c>
    </row>
    <row r="703" spans="1:5" ht="15" x14ac:dyDescent="0.3">
      <c r="A703" s="1" t="s">
        <v>92</v>
      </c>
      <c r="B703" s="7">
        <v>2</v>
      </c>
      <c r="C703" s="8">
        <v>5.3050397877984082E-3</v>
      </c>
      <c r="D703" s="9">
        <v>1</v>
      </c>
      <c r="E703" s="10">
        <v>2.9154518950437317E-3</v>
      </c>
    </row>
    <row r="704" spans="1:5" ht="15" x14ac:dyDescent="0.3">
      <c r="A704" s="1" t="s">
        <v>93</v>
      </c>
      <c r="B704" s="7">
        <v>2</v>
      </c>
      <c r="C704" s="8">
        <v>5.3050397877984082E-3</v>
      </c>
      <c r="D704" s="9">
        <v>3</v>
      </c>
      <c r="E704" s="10">
        <v>8.7463556851311956E-3</v>
      </c>
    </row>
    <row r="705" spans="1:5" ht="15" x14ac:dyDescent="0.3">
      <c r="A705" s="1" t="s">
        <v>94</v>
      </c>
      <c r="B705" s="7">
        <v>18</v>
      </c>
      <c r="C705" s="8">
        <v>4.7745358090185673E-2</v>
      </c>
      <c r="D705" s="9">
        <v>10</v>
      </c>
      <c r="E705" s="10">
        <v>2.9154518950437316E-2</v>
      </c>
    </row>
    <row r="706" spans="1:5" ht="15" x14ac:dyDescent="0.3">
      <c r="A706" s="1" t="s">
        <v>95</v>
      </c>
      <c r="B706" s="7">
        <v>2</v>
      </c>
      <c r="C706" s="8">
        <v>5.3050397877984082E-3</v>
      </c>
      <c r="D706" s="9">
        <v>1</v>
      </c>
      <c r="E706" s="10">
        <v>2.9154518950437317E-3</v>
      </c>
    </row>
    <row r="707" spans="1:5" ht="15" x14ac:dyDescent="0.3">
      <c r="A707" s="1" t="s">
        <v>96</v>
      </c>
      <c r="B707" s="7">
        <v>1</v>
      </c>
      <c r="C707" s="8">
        <v>2.6525198938992041E-3</v>
      </c>
      <c r="D707" s="9">
        <v>1</v>
      </c>
      <c r="E707" s="10">
        <v>2.9154518950437317E-3</v>
      </c>
    </row>
    <row r="708" spans="1:5" ht="15" x14ac:dyDescent="0.3">
      <c r="A708" s="1" t="s">
        <v>97</v>
      </c>
      <c r="B708" s="7">
        <v>0</v>
      </c>
      <c r="C708" s="8">
        <v>0</v>
      </c>
      <c r="D708" s="9">
        <v>1</v>
      </c>
      <c r="E708" s="10">
        <v>2.9154518950437317E-3</v>
      </c>
    </row>
    <row r="709" spans="1:5" ht="15" x14ac:dyDescent="0.3">
      <c r="A709" s="1" t="s">
        <v>98</v>
      </c>
      <c r="B709" s="7">
        <v>11</v>
      </c>
      <c r="C709" s="8">
        <v>2.9177718832891247E-2</v>
      </c>
      <c r="D709" s="9">
        <v>10</v>
      </c>
      <c r="E709" s="10">
        <v>2.9154518950437316E-2</v>
      </c>
    </row>
    <row r="710" spans="1:5" ht="15" x14ac:dyDescent="0.3">
      <c r="A710" s="1" t="s">
        <v>99</v>
      </c>
      <c r="B710" s="7">
        <v>0</v>
      </c>
      <c r="C710" s="8">
        <v>0</v>
      </c>
      <c r="D710" s="9">
        <v>1</v>
      </c>
      <c r="E710" s="10">
        <v>2.9154518950437317E-3</v>
      </c>
    </row>
    <row r="711" spans="1:5" ht="15" x14ac:dyDescent="0.3">
      <c r="A711" s="1" t="s">
        <v>100</v>
      </c>
      <c r="B711" s="7">
        <v>1</v>
      </c>
      <c r="C711" s="8">
        <v>2.6525198938992041E-3</v>
      </c>
      <c r="D711" s="9">
        <v>0</v>
      </c>
      <c r="E711" s="10">
        <v>0</v>
      </c>
    </row>
    <row r="712" spans="1:5" ht="15" x14ac:dyDescent="0.3">
      <c r="A712" s="1" t="s">
        <v>101</v>
      </c>
      <c r="B712" s="7">
        <v>2</v>
      </c>
      <c r="C712" s="8">
        <v>5.3050397877984082E-3</v>
      </c>
      <c r="D712" s="9">
        <v>2</v>
      </c>
      <c r="E712" s="10">
        <v>5.8309037900874635E-3</v>
      </c>
    </row>
    <row r="713" spans="1:5" ht="15" x14ac:dyDescent="0.3">
      <c r="A713" s="1" t="s">
        <v>102</v>
      </c>
      <c r="B713" s="7">
        <v>1</v>
      </c>
      <c r="C713" s="8">
        <v>2.6525198938992041E-3</v>
      </c>
      <c r="D713" s="9">
        <v>1</v>
      </c>
      <c r="E713" s="10">
        <v>2.9154518950437317E-3</v>
      </c>
    </row>
    <row r="714" spans="1:5" ht="15" x14ac:dyDescent="0.3">
      <c r="A714" s="1" t="s">
        <v>103</v>
      </c>
      <c r="B714" s="7">
        <v>0</v>
      </c>
      <c r="C714" s="8">
        <v>0</v>
      </c>
      <c r="D714" s="9">
        <v>1</v>
      </c>
      <c r="E714" s="10">
        <v>2.9154518950437317E-3</v>
      </c>
    </row>
    <row r="715" spans="1:5" ht="15" x14ac:dyDescent="0.3">
      <c r="A715" s="1" t="s">
        <v>104</v>
      </c>
      <c r="B715" s="7">
        <v>0</v>
      </c>
      <c r="C715" s="8">
        <v>0</v>
      </c>
      <c r="D715" s="9">
        <v>1</v>
      </c>
      <c r="E715" s="10">
        <v>2.9154518950437317E-3</v>
      </c>
    </row>
    <row r="716" spans="1:5" ht="15" x14ac:dyDescent="0.3">
      <c r="A716" s="1" t="s">
        <v>105</v>
      </c>
      <c r="B716" s="7">
        <v>1</v>
      </c>
      <c r="C716" s="8">
        <v>2.6525198938992041E-3</v>
      </c>
      <c r="D716" s="9">
        <v>2</v>
      </c>
      <c r="E716" s="10">
        <v>5.8309037900874635E-3</v>
      </c>
    </row>
    <row r="717" spans="1:5" ht="15" x14ac:dyDescent="0.3">
      <c r="A717" s="1" t="s">
        <v>106</v>
      </c>
      <c r="B717" s="7">
        <v>2</v>
      </c>
      <c r="C717" s="8">
        <v>5.3050397877984082E-3</v>
      </c>
      <c r="D717" s="9">
        <v>0</v>
      </c>
      <c r="E717" s="10">
        <v>0</v>
      </c>
    </row>
    <row r="718" spans="1:5" ht="15" x14ac:dyDescent="0.3">
      <c r="A718" s="1" t="s">
        <v>107</v>
      </c>
      <c r="B718" s="7">
        <v>5</v>
      </c>
      <c r="C718" s="8">
        <v>1.3262599469496022E-2</v>
      </c>
      <c r="D718" s="9">
        <v>3</v>
      </c>
      <c r="E718" s="10">
        <v>8.7463556851311956E-3</v>
      </c>
    </row>
    <row r="719" spans="1:5" ht="15" x14ac:dyDescent="0.3">
      <c r="A719" s="1" t="s">
        <v>54</v>
      </c>
      <c r="B719" s="7">
        <v>13</v>
      </c>
      <c r="C719" s="8">
        <v>3.4482758620689655E-2</v>
      </c>
      <c r="D719" s="9">
        <v>11</v>
      </c>
      <c r="E719" s="10">
        <v>3.2069970845481049E-2</v>
      </c>
    </row>
    <row r="720" spans="1:5" ht="15" x14ac:dyDescent="0.3">
      <c r="A720" s="1" t="s">
        <v>108</v>
      </c>
      <c r="B720" s="7">
        <v>1</v>
      </c>
      <c r="C720" s="8">
        <v>2.6525198938992041E-3</v>
      </c>
      <c r="D720" s="9">
        <v>0</v>
      </c>
      <c r="E720" s="10">
        <v>0</v>
      </c>
    </row>
    <row r="721" spans="1:5" ht="15" x14ac:dyDescent="0.3">
      <c r="A721" s="1" t="s">
        <v>109</v>
      </c>
      <c r="B721" s="7">
        <v>4</v>
      </c>
      <c r="C721" s="8">
        <v>1.0610079575596816E-2</v>
      </c>
      <c r="D721" s="9">
        <v>8</v>
      </c>
      <c r="E721" s="10">
        <v>2.3323615160349854E-2</v>
      </c>
    </row>
    <row r="722" spans="1:5" ht="15" x14ac:dyDescent="0.3">
      <c r="A722" s="1" t="s">
        <v>55</v>
      </c>
      <c r="B722" s="7">
        <v>48</v>
      </c>
      <c r="C722" s="8">
        <v>0.1273209549071618</v>
      </c>
      <c r="D722" s="9">
        <v>43</v>
      </c>
      <c r="E722" s="10">
        <v>0.12536443148688048</v>
      </c>
    </row>
    <row r="723" spans="1:5" ht="15" x14ac:dyDescent="0.3">
      <c r="A723" s="1" t="s">
        <v>110</v>
      </c>
      <c r="B723" s="7">
        <v>1</v>
      </c>
      <c r="C723" s="8">
        <v>2.6525198938992041E-3</v>
      </c>
      <c r="D723" s="9">
        <v>0</v>
      </c>
      <c r="E723" s="10">
        <v>0</v>
      </c>
    </row>
    <row r="724" spans="1:5" ht="15" x14ac:dyDescent="0.3">
      <c r="A724" s="1" t="s">
        <v>111</v>
      </c>
      <c r="B724" s="7">
        <v>2</v>
      </c>
      <c r="C724" s="8">
        <v>5.3050397877984082E-3</v>
      </c>
      <c r="D724" s="9">
        <v>0</v>
      </c>
      <c r="E724" s="10">
        <v>0</v>
      </c>
    </row>
    <row r="725" spans="1:5" ht="15.6" x14ac:dyDescent="0.3">
      <c r="A725" s="21" t="s">
        <v>112</v>
      </c>
      <c r="B725" s="22">
        <v>0</v>
      </c>
      <c r="C725" s="23">
        <v>0</v>
      </c>
      <c r="D725" s="24">
        <v>2</v>
      </c>
      <c r="E725" s="25">
        <v>5.8309037900874635E-3</v>
      </c>
    </row>
    <row r="726" spans="1:5" ht="15.6" x14ac:dyDescent="0.3">
      <c r="A726" s="31" t="s">
        <v>4</v>
      </c>
      <c r="B726" s="35">
        <f>SUBTOTAL(109,Table81[Pre Count])</f>
        <v>377</v>
      </c>
      <c r="C726" s="36">
        <f>SUBTOTAL(109,Table81[Pre Count %])</f>
        <v>1.0000000000000002</v>
      </c>
      <c r="D726" s="37">
        <f>SUBTOTAL(109,Table81[Post Count])</f>
        <v>343</v>
      </c>
      <c r="E726" s="34">
        <f>SUBTOTAL(109,Table81[Post Count %])</f>
        <v>0.99999999999999967</v>
      </c>
    </row>
    <row r="727" spans="1:5" ht="15" x14ac:dyDescent="0.3">
      <c r="A727" s="15"/>
      <c r="B727" s="7"/>
      <c r="C727" s="8"/>
      <c r="D727" s="9"/>
      <c r="E727" s="10"/>
    </row>
    <row r="728" spans="1:5" ht="15" x14ac:dyDescent="0.3">
      <c r="A728" s="45" t="s">
        <v>361</v>
      </c>
      <c r="B728" s="45"/>
      <c r="C728" s="45"/>
      <c r="D728" s="45"/>
      <c r="E728" s="45"/>
    </row>
    <row r="729" spans="1:5" ht="15" x14ac:dyDescent="0.3">
      <c r="A729" s="11" t="s">
        <v>278</v>
      </c>
      <c r="B729" s="11" t="s">
        <v>274</v>
      </c>
      <c r="C729" s="11" t="s">
        <v>277</v>
      </c>
      <c r="D729" s="11" t="s">
        <v>275</v>
      </c>
      <c r="E729" s="11" t="s">
        <v>276</v>
      </c>
    </row>
    <row r="730" spans="1:5" ht="15" x14ac:dyDescent="0.3">
      <c r="A730" s="1" t="s">
        <v>0</v>
      </c>
      <c r="B730" s="7">
        <v>364</v>
      </c>
      <c r="C730" s="8">
        <v>0.96551724137931028</v>
      </c>
      <c r="D730" s="9">
        <v>332</v>
      </c>
      <c r="E730" s="10">
        <v>0.96793002915451898</v>
      </c>
    </row>
    <row r="731" spans="1:5" ht="15" x14ac:dyDescent="0.3">
      <c r="A731" s="1" t="s">
        <v>113</v>
      </c>
      <c r="B731" s="7">
        <v>0</v>
      </c>
      <c r="C731" s="8">
        <v>0</v>
      </c>
      <c r="D731" s="9">
        <v>2</v>
      </c>
      <c r="E731" s="10">
        <v>5.8309037900874635E-3</v>
      </c>
    </row>
    <row r="732" spans="1:5" ht="15" x14ac:dyDescent="0.3">
      <c r="A732" s="1" t="s">
        <v>114</v>
      </c>
      <c r="B732" s="7">
        <v>1</v>
      </c>
      <c r="C732" s="8">
        <v>2.6525198938992041E-3</v>
      </c>
      <c r="D732" s="9">
        <v>0</v>
      </c>
      <c r="E732" s="10">
        <v>0</v>
      </c>
    </row>
    <row r="733" spans="1:5" ht="15" x14ac:dyDescent="0.3">
      <c r="A733" s="1" t="s">
        <v>115</v>
      </c>
      <c r="B733" s="7">
        <v>0</v>
      </c>
      <c r="C733" s="8">
        <v>0</v>
      </c>
      <c r="D733" s="9">
        <v>1</v>
      </c>
      <c r="E733" s="10">
        <v>2.9154518950437317E-3</v>
      </c>
    </row>
    <row r="734" spans="1:5" ht="15" x14ac:dyDescent="0.3">
      <c r="A734" s="1" t="s">
        <v>116</v>
      </c>
      <c r="B734" s="7">
        <v>1</v>
      </c>
      <c r="C734" s="8">
        <v>2.6525198938992041E-3</v>
      </c>
      <c r="D734" s="9">
        <v>0</v>
      </c>
      <c r="E734" s="10">
        <v>0</v>
      </c>
    </row>
    <row r="735" spans="1:5" ht="15" x14ac:dyDescent="0.3">
      <c r="A735" s="1" t="s">
        <v>117</v>
      </c>
      <c r="B735" s="7">
        <v>3</v>
      </c>
      <c r="C735" s="8">
        <v>7.9575596816976128E-3</v>
      </c>
      <c r="D735" s="9">
        <v>1</v>
      </c>
      <c r="E735" s="10">
        <v>2.9154518950437317E-3</v>
      </c>
    </row>
    <row r="736" spans="1:5" ht="15" x14ac:dyDescent="0.3">
      <c r="A736" s="1" t="s">
        <v>118</v>
      </c>
      <c r="B736" s="7">
        <v>0</v>
      </c>
      <c r="C736" s="8">
        <v>0</v>
      </c>
      <c r="D736" s="9">
        <v>1</v>
      </c>
      <c r="E736" s="10">
        <v>2.9154518950437317E-3</v>
      </c>
    </row>
    <row r="737" spans="1:5" ht="15" x14ac:dyDescent="0.3">
      <c r="A737" s="1" t="s">
        <v>119</v>
      </c>
      <c r="B737" s="7">
        <v>1</v>
      </c>
      <c r="C737" s="8">
        <v>2.6525198938992041E-3</v>
      </c>
      <c r="D737" s="9">
        <v>1</v>
      </c>
      <c r="E737" s="10">
        <v>2.9154518950437317E-3</v>
      </c>
    </row>
    <row r="738" spans="1:5" ht="15" x14ac:dyDescent="0.3">
      <c r="A738" s="1" t="s">
        <v>120</v>
      </c>
      <c r="B738" s="7">
        <v>0</v>
      </c>
      <c r="C738" s="8">
        <v>0</v>
      </c>
      <c r="D738" s="9">
        <v>1</v>
      </c>
      <c r="E738" s="10">
        <v>2.9154518950437317E-3</v>
      </c>
    </row>
    <row r="739" spans="1:5" ht="15" x14ac:dyDescent="0.3">
      <c r="A739" s="1" t="s">
        <v>121</v>
      </c>
      <c r="B739" s="7">
        <v>1</v>
      </c>
      <c r="C739" s="8">
        <v>2.6525198938992041E-3</v>
      </c>
      <c r="D739" s="9">
        <v>0</v>
      </c>
      <c r="E739" s="10">
        <v>0</v>
      </c>
    </row>
    <row r="740" spans="1:5" ht="15" x14ac:dyDescent="0.3">
      <c r="A740" s="1" t="s">
        <v>122</v>
      </c>
      <c r="B740" s="7">
        <v>0</v>
      </c>
      <c r="C740" s="8">
        <v>0</v>
      </c>
      <c r="D740" s="9">
        <v>1</v>
      </c>
      <c r="E740" s="10">
        <v>2.9154518950437317E-3</v>
      </c>
    </row>
    <row r="741" spans="1:5" ht="15" x14ac:dyDescent="0.3">
      <c r="A741" s="1" t="s">
        <v>123</v>
      </c>
      <c r="B741" s="7">
        <v>1</v>
      </c>
      <c r="C741" s="8">
        <v>2.6525198938992041E-3</v>
      </c>
      <c r="D741" s="9">
        <v>0</v>
      </c>
      <c r="E741" s="10">
        <v>0</v>
      </c>
    </row>
    <row r="742" spans="1:5" ht="15" x14ac:dyDescent="0.3">
      <c r="A742" s="1" t="s">
        <v>124</v>
      </c>
      <c r="B742" s="7">
        <v>2</v>
      </c>
      <c r="C742" s="8">
        <v>5.3050397877984082E-3</v>
      </c>
      <c r="D742" s="9">
        <v>1</v>
      </c>
      <c r="E742" s="10">
        <v>2.9154518950437317E-3</v>
      </c>
    </row>
    <row r="743" spans="1:5" ht="15" x14ac:dyDescent="0.3">
      <c r="A743" s="1" t="s">
        <v>125</v>
      </c>
      <c r="B743" s="7">
        <v>1</v>
      </c>
      <c r="C743" s="8">
        <v>2.6525198938992041E-3</v>
      </c>
      <c r="D743" s="9">
        <v>0</v>
      </c>
      <c r="E743" s="10">
        <v>0</v>
      </c>
    </row>
    <row r="744" spans="1:5" ht="15" x14ac:dyDescent="0.3">
      <c r="A744" s="1" t="s">
        <v>126</v>
      </c>
      <c r="B744" s="7">
        <v>1</v>
      </c>
      <c r="C744" s="8">
        <v>2.6525198938992041E-3</v>
      </c>
      <c r="D744" s="9">
        <v>1</v>
      </c>
      <c r="E744" s="10">
        <v>2.9154518950437317E-3</v>
      </c>
    </row>
    <row r="745" spans="1:5" ht="15.6" x14ac:dyDescent="0.3">
      <c r="A745" s="21" t="s">
        <v>127</v>
      </c>
      <c r="B745" s="22">
        <v>1</v>
      </c>
      <c r="C745" s="23">
        <v>2.6525198938992041E-3</v>
      </c>
      <c r="D745" s="24">
        <v>0</v>
      </c>
      <c r="E745" s="25">
        <v>0</v>
      </c>
    </row>
    <row r="746" spans="1:5" ht="15.6" x14ac:dyDescent="0.3">
      <c r="A746" s="31" t="s">
        <v>4</v>
      </c>
      <c r="B746" s="35">
        <f>SUBTOTAL(109,Table82[Pre Count])</f>
        <v>377</v>
      </c>
      <c r="C746" s="36">
        <f>SUBTOTAL(109,Table82[Pre Count %])</f>
        <v>1.0000000000000002</v>
      </c>
      <c r="D746" s="37">
        <f>SUBTOTAL(109,Table82[Post Count])</f>
        <v>342</v>
      </c>
      <c r="E746" s="34">
        <f>SUBTOTAL(109,Table82[Post Count %])</f>
        <v>0.99708454810495617</v>
      </c>
    </row>
    <row r="747" spans="1:5" ht="15" x14ac:dyDescent="0.3">
      <c r="A747" s="15"/>
      <c r="B747" s="7"/>
      <c r="C747" s="8"/>
      <c r="D747" s="9"/>
      <c r="E747" s="10"/>
    </row>
    <row r="748" spans="1:5" ht="15" x14ac:dyDescent="0.3">
      <c r="A748" s="45" t="s">
        <v>362</v>
      </c>
      <c r="B748" s="45"/>
      <c r="C748" s="45"/>
      <c r="D748" s="45"/>
      <c r="E748" s="45"/>
    </row>
    <row r="749" spans="1:5" ht="15" x14ac:dyDescent="0.3">
      <c r="A749" s="11" t="s">
        <v>278</v>
      </c>
      <c r="B749" s="11" t="s">
        <v>274</v>
      </c>
      <c r="C749" s="11" t="s">
        <v>277</v>
      </c>
      <c r="D749" s="11" t="s">
        <v>275</v>
      </c>
      <c r="E749" s="11" t="s">
        <v>276</v>
      </c>
    </row>
    <row r="750" spans="1:5" ht="15" x14ac:dyDescent="0.3">
      <c r="A750" s="1" t="s">
        <v>0</v>
      </c>
      <c r="B750" s="7">
        <v>35</v>
      </c>
      <c r="C750" s="8">
        <v>9.2838196286472149E-2</v>
      </c>
      <c r="D750" s="9">
        <v>25</v>
      </c>
      <c r="E750" s="10">
        <v>7.2886297376093298E-2</v>
      </c>
    </row>
    <row r="751" spans="1:5" ht="15" x14ac:dyDescent="0.3">
      <c r="A751" s="1" t="s">
        <v>128</v>
      </c>
      <c r="B751" s="7">
        <v>8</v>
      </c>
      <c r="C751" s="8">
        <v>2.1220159151193633E-2</v>
      </c>
      <c r="D751" s="9">
        <v>6</v>
      </c>
      <c r="E751" s="10">
        <v>1.7492711370262391E-2</v>
      </c>
    </row>
    <row r="752" spans="1:5" ht="15" x14ac:dyDescent="0.3">
      <c r="A752" s="1" t="s">
        <v>129</v>
      </c>
      <c r="B752" s="7">
        <v>0</v>
      </c>
      <c r="C752" s="8">
        <v>0</v>
      </c>
      <c r="D752" s="9">
        <v>4</v>
      </c>
      <c r="E752" s="10">
        <v>1.1661807580174927E-2</v>
      </c>
    </row>
    <row r="753" spans="1:5" ht="15" x14ac:dyDescent="0.3">
      <c r="A753" s="1" t="s">
        <v>130</v>
      </c>
      <c r="B753" s="7">
        <v>1</v>
      </c>
      <c r="C753" s="8">
        <v>2.6525198938992041E-3</v>
      </c>
      <c r="D753" s="9">
        <v>0</v>
      </c>
      <c r="E753" s="10">
        <v>0</v>
      </c>
    </row>
    <row r="754" spans="1:5" ht="15" x14ac:dyDescent="0.3">
      <c r="A754" s="1" t="s">
        <v>131</v>
      </c>
      <c r="B754" s="7">
        <v>176</v>
      </c>
      <c r="C754" s="8">
        <v>0.46684350132625996</v>
      </c>
      <c r="D754" s="9">
        <v>167</v>
      </c>
      <c r="E754" s="10">
        <v>0.48688046647230321</v>
      </c>
    </row>
    <row r="755" spans="1:5" ht="15" x14ac:dyDescent="0.3">
      <c r="A755" s="1" t="s">
        <v>132</v>
      </c>
      <c r="B755" s="7">
        <v>3</v>
      </c>
      <c r="C755" s="8">
        <v>7.9575596816976128E-3</v>
      </c>
      <c r="D755" s="9">
        <v>2</v>
      </c>
      <c r="E755" s="10">
        <v>5.8309037900874635E-3</v>
      </c>
    </row>
    <row r="756" spans="1:5" ht="15" x14ac:dyDescent="0.3">
      <c r="A756" s="1" t="s">
        <v>133</v>
      </c>
      <c r="B756" s="7">
        <v>1</v>
      </c>
      <c r="C756" s="8">
        <v>2.6525198938992041E-3</v>
      </c>
      <c r="D756" s="9">
        <v>1</v>
      </c>
      <c r="E756" s="10">
        <v>2.9154518950437317E-3</v>
      </c>
    </row>
    <row r="757" spans="1:5" ht="15" x14ac:dyDescent="0.3">
      <c r="A757" s="1" t="s">
        <v>134</v>
      </c>
      <c r="B757" s="7">
        <v>10</v>
      </c>
      <c r="C757" s="8">
        <v>2.6525198938992044E-2</v>
      </c>
      <c r="D757" s="9">
        <v>6</v>
      </c>
      <c r="E757" s="10">
        <v>1.7492711370262391E-2</v>
      </c>
    </row>
    <row r="758" spans="1:5" ht="15" x14ac:dyDescent="0.3">
      <c r="A758" s="1" t="s">
        <v>135</v>
      </c>
      <c r="B758" s="7">
        <v>2</v>
      </c>
      <c r="C758" s="8">
        <v>5.3050397877984082E-3</v>
      </c>
      <c r="D758" s="9">
        <v>1</v>
      </c>
      <c r="E758" s="10">
        <v>2.9154518950437317E-3</v>
      </c>
    </row>
    <row r="759" spans="1:5" ht="15" x14ac:dyDescent="0.3">
      <c r="A759" s="1" t="s">
        <v>136</v>
      </c>
      <c r="B759" s="7">
        <v>1</v>
      </c>
      <c r="C759" s="8">
        <v>2.6525198938992041E-3</v>
      </c>
      <c r="D759" s="9">
        <v>0</v>
      </c>
      <c r="E759" s="10">
        <v>0</v>
      </c>
    </row>
    <row r="760" spans="1:5" ht="15" x14ac:dyDescent="0.3">
      <c r="A760" s="1" t="s">
        <v>137</v>
      </c>
      <c r="B760" s="7">
        <v>19</v>
      </c>
      <c r="C760" s="8">
        <v>5.0397877984084884E-2</v>
      </c>
      <c r="D760" s="9">
        <v>18</v>
      </c>
      <c r="E760" s="10">
        <v>5.2478134110787174E-2</v>
      </c>
    </row>
    <row r="761" spans="1:5" ht="15" x14ac:dyDescent="0.3">
      <c r="A761" s="1" t="s">
        <v>138</v>
      </c>
      <c r="B761" s="7">
        <v>4</v>
      </c>
      <c r="C761" s="8">
        <v>1.0610079575596816E-2</v>
      </c>
      <c r="D761" s="9">
        <v>7</v>
      </c>
      <c r="E761" s="10">
        <v>2.0408163265306124E-2</v>
      </c>
    </row>
    <row r="762" spans="1:5" ht="15" x14ac:dyDescent="0.3">
      <c r="A762" s="1" t="s">
        <v>139</v>
      </c>
      <c r="B762" s="7">
        <v>2</v>
      </c>
      <c r="C762" s="8">
        <v>5.3050397877984082E-3</v>
      </c>
      <c r="D762" s="9">
        <v>1</v>
      </c>
      <c r="E762" s="10">
        <v>2.9154518950437317E-3</v>
      </c>
    </row>
    <row r="763" spans="1:5" ht="15" x14ac:dyDescent="0.3">
      <c r="A763" s="1" t="s">
        <v>140</v>
      </c>
      <c r="B763" s="7">
        <v>0</v>
      </c>
      <c r="C763" s="8">
        <v>0</v>
      </c>
      <c r="D763" s="9">
        <v>1</v>
      </c>
      <c r="E763" s="10">
        <v>2.9154518950437317E-3</v>
      </c>
    </row>
    <row r="764" spans="1:5" ht="15" x14ac:dyDescent="0.3">
      <c r="A764" s="1" t="s">
        <v>141</v>
      </c>
      <c r="B764" s="7">
        <v>4</v>
      </c>
      <c r="C764" s="8">
        <v>1.0610079575596816E-2</v>
      </c>
      <c r="D764" s="9">
        <v>5</v>
      </c>
      <c r="E764" s="10">
        <v>1.4577259475218658E-2</v>
      </c>
    </row>
    <row r="765" spans="1:5" ht="15" x14ac:dyDescent="0.3">
      <c r="A765" s="1" t="s">
        <v>142</v>
      </c>
      <c r="B765" s="7">
        <v>13</v>
      </c>
      <c r="C765" s="8">
        <v>3.4482758620689655E-2</v>
      </c>
      <c r="D765" s="9">
        <v>10</v>
      </c>
      <c r="E765" s="10">
        <v>2.9154518950437316E-2</v>
      </c>
    </row>
    <row r="766" spans="1:5" ht="15" x14ac:dyDescent="0.3">
      <c r="A766" s="1" t="s">
        <v>143</v>
      </c>
      <c r="B766" s="7">
        <v>5</v>
      </c>
      <c r="C766" s="8">
        <v>1.3262599469496022E-2</v>
      </c>
      <c r="D766" s="9">
        <v>5</v>
      </c>
      <c r="E766" s="10">
        <v>1.4577259475218658E-2</v>
      </c>
    </row>
    <row r="767" spans="1:5" ht="15" x14ac:dyDescent="0.3">
      <c r="A767" s="1" t="s">
        <v>144</v>
      </c>
      <c r="B767" s="7">
        <v>5</v>
      </c>
      <c r="C767" s="8">
        <v>1.3262599469496022E-2</v>
      </c>
      <c r="D767" s="9">
        <v>6</v>
      </c>
      <c r="E767" s="10">
        <v>1.7492711370262391E-2</v>
      </c>
    </row>
    <row r="768" spans="1:5" ht="15" x14ac:dyDescent="0.3">
      <c r="A768" s="1" t="s">
        <v>145</v>
      </c>
      <c r="B768" s="7">
        <v>0</v>
      </c>
      <c r="C768" s="8">
        <v>0</v>
      </c>
      <c r="D768" s="9">
        <v>1</v>
      </c>
      <c r="E768" s="10">
        <v>2.9154518950437317E-3</v>
      </c>
    </row>
    <row r="769" spans="1:5" ht="15" x14ac:dyDescent="0.3">
      <c r="A769" s="1" t="s">
        <v>146</v>
      </c>
      <c r="B769" s="7">
        <v>0</v>
      </c>
      <c r="C769" s="8">
        <v>0</v>
      </c>
      <c r="D769" s="9">
        <v>2</v>
      </c>
      <c r="E769" s="10">
        <v>5.8309037900874635E-3</v>
      </c>
    </row>
    <row r="770" spans="1:5" ht="15" x14ac:dyDescent="0.3">
      <c r="A770" s="1" t="s">
        <v>147</v>
      </c>
      <c r="B770" s="7">
        <v>2</v>
      </c>
      <c r="C770" s="8">
        <v>5.3050397877984082E-3</v>
      </c>
      <c r="D770" s="9">
        <v>4</v>
      </c>
      <c r="E770" s="10">
        <v>1.1661807580174927E-2</v>
      </c>
    </row>
    <row r="771" spans="1:5" ht="15" x14ac:dyDescent="0.3">
      <c r="A771" s="1" t="s">
        <v>148</v>
      </c>
      <c r="B771" s="7">
        <v>0</v>
      </c>
      <c r="C771" s="8">
        <v>0</v>
      </c>
      <c r="D771" s="9">
        <v>1</v>
      </c>
      <c r="E771" s="10">
        <v>2.9154518950437317E-3</v>
      </c>
    </row>
    <row r="772" spans="1:5" ht="15" x14ac:dyDescent="0.3">
      <c r="A772" s="1" t="s">
        <v>149</v>
      </c>
      <c r="B772" s="7">
        <v>5</v>
      </c>
      <c r="C772" s="8">
        <v>1.3262599469496022E-2</v>
      </c>
      <c r="D772" s="9">
        <v>2</v>
      </c>
      <c r="E772" s="10">
        <v>5.8309037900874635E-3</v>
      </c>
    </row>
    <row r="773" spans="1:5" ht="15" x14ac:dyDescent="0.3">
      <c r="A773" s="1" t="s">
        <v>54</v>
      </c>
      <c r="B773" s="7">
        <v>14</v>
      </c>
      <c r="C773" s="8">
        <v>3.7135278514588858E-2</v>
      </c>
      <c r="D773" s="9">
        <v>8</v>
      </c>
      <c r="E773" s="10">
        <v>2.3323615160349854E-2</v>
      </c>
    </row>
    <row r="774" spans="1:5" ht="15" x14ac:dyDescent="0.3">
      <c r="A774" s="1" t="s">
        <v>150</v>
      </c>
      <c r="B774" s="7">
        <v>0</v>
      </c>
      <c r="C774" s="8">
        <v>0</v>
      </c>
      <c r="D774" s="9">
        <v>1</v>
      </c>
      <c r="E774" s="10">
        <v>2.9154518950437317E-3</v>
      </c>
    </row>
    <row r="775" spans="1:5" ht="15" x14ac:dyDescent="0.3">
      <c r="A775" s="1" t="s">
        <v>151</v>
      </c>
      <c r="B775" s="7">
        <v>1</v>
      </c>
      <c r="C775" s="8">
        <v>2.6525198938992041E-3</v>
      </c>
      <c r="D775" s="9">
        <v>0</v>
      </c>
      <c r="E775" s="10">
        <v>0</v>
      </c>
    </row>
    <row r="776" spans="1:5" ht="15" x14ac:dyDescent="0.3">
      <c r="A776" s="1" t="s">
        <v>55</v>
      </c>
      <c r="B776" s="7">
        <v>57</v>
      </c>
      <c r="C776" s="8">
        <v>0.15119363395225463</v>
      </c>
      <c r="D776" s="9">
        <v>51</v>
      </c>
      <c r="E776" s="10">
        <v>0.14868804664723032</v>
      </c>
    </row>
    <row r="777" spans="1:5" ht="15" x14ac:dyDescent="0.3">
      <c r="A777" s="1" t="s">
        <v>152</v>
      </c>
      <c r="B777" s="7">
        <v>1</v>
      </c>
      <c r="C777" s="8">
        <v>2.6525198938992041E-3</v>
      </c>
      <c r="D777" s="9">
        <v>0</v>
      </c>
      <c r="E777" s="10">
        <v>0</v>
      </c>
    </row>
    <row r="778" spans="1:5" ht="15" x14ac:dyDescent="0.3">
      <c r="A778" s="1" t="s">
        <v>153</v>
      </c>
      <c r="B778" s="7">
        <v>1</v>
      </c>
      <c r="C778" s="8">
        <v>2.6525198938992041E-3</v>
      </c>
      <c r="D778" s="9">
        <v>0</v>
      </c>
      <c r="E778" s="10">
        <v>0</v>
      </c>
    </row>
    <row r="779" spans="1:5" ht="15" x14ac:dyDescent="0.3">
      <c r="A779" s="1" t="s">
        <v>154</v>
      </c>
      <c r="B779" s="7">
        <v>4</v>
      </c>
      <c r="C779" s="8">
        <v>1.0610079575596816E-2</v>
      </c>
      <c r="D779" s="9">
        <v>3</v>
      </c>
      <c r="E779" s="10">
        <v>8.7463556851311956E-3</v>
      </c>
    </row>
    <row r="780" spans="1:5" ht="15" x14ac:dyDescent="0.3">
      <c r="A780" s="1" t="s">
        <v>155</v>
      </c>
      <c r="B780" s="7">
        <v>1</v>
      </c>
      <c r="C780" s="8">
        <v>2.6525198938992041E-3</v>
      </c>
      <c r="D780" s="9">
        <v>2</v>
      </c>
      <c r="E780" s="10">
        <v>5.8309037900874635E-3</v>
      </c>
    </row>
    <row r="781" spans="1:5" ht="15" x14ac:dyDescent="0.3">
      <c r="A781" s="1" t="s">
        <v>156</v>
      </c>
      <c r="B781" s="7">
        <v>1</v>
      </c>
      <c r="C781" s="8">
        <v>2.6525198938992041E-3</v>
      </c>
      <c r="D781" s="9">
        <v>0</v>
      </c>
      <c r="E781" s="10">
        <v>0</v>
      </c>
    </row>
    <row r="782" spans="1:5" ht="15" x14ac:dyDescent="0.3">
      <c r="A782" s="1" t="s">
        <v>157</v>
      </c>
      <c r="B782" s="7">
        <v>1</v>
      </c>
      <c r="C782" s="8">
        <v>2.6525198938992041E-3</v>
      </c>
      <c r="D782" s="9">
        <v>0</v>
      </c>
      <c r="E782" s="10">
        <v>0</v>
      </c>
    </row>
    <row r="783" spans="1:5" ht="15" x14ac:dyDescent="0.3">
      <c r="A783" s="21" t="s">
        <v>158</v>
      </c>
      <c r="B783" s="22">
        <v>0</v>
      </c>
      <c r="C783" s="23">
        <v>0</v>
      </c>
      <c r="D783" s="24">
        <v>3</v>
      </c>
      <c r="E783" s="25">
        <v>8.7463556851311956E-3</v>
      </c>
    </row>
    <row r="784" spans="1:5" ht="15.6" x14ac:dyDescent="0.3">
      <c r="A784" s="31" t="s">
        <v>4</v>
      </c>
      <c r="B784" s="35">
        <f>SUBTOTAL(109,Table83[Pre Count])</f>
        <v>377</v>
      </c>
      <c r="C784" s="36">
        <f>SUBTOTAL(109,Table83[Pre Count %])</f>
        <v>1.0000000000000002</v>
      </c>
      <c r="D784" s="37">
        <f>SUBTOTAL(109,Table83[Post Count])</f>
        <v>343</v>
      </c>
      <c r="E784" s="34">
        <f>SUBTOTAL(109,Table83[Post Count %])</f>
        <v>0.99999999999999989</v>
      </c>
    </row>
    <row r="785" spans="1:5" ht="15" x14ac:dyDescent="0.3">
      <c r="A785" s="15"/>
      <c r="B785" s="7"/>
      <c r="C785" s="8"/>
      <c r="D785" s="9"/>
      <c r="E785" s="10"/>
    </row>
    <row r="786" spans="1:5" ht="15" x14ac:dyDescent="0.3">
      <c r="A786" s="45" t="s">
        <v>363</v>
      </c>
      <c r="B786" s="45"/>
      <c r="C786" s="45"/>
      <c r="D786" s="45"/>
      <c r="E786" s="45"/>
    </row>
    <row r="787" spans="1:5" ht="15" x14ac:dyDescent="0.3">
      <c r="A787" s="11" t="s">
        <v>278</v>
      </c>
      <c r="B787" s="11" t="s">
        <v>274</v>
      </c>
      <c r="C787" s="11" t="s">
        <v>277</v>
      </c>
      <c r="D787" s="11" t="s">
        <v>275</v>
      </c>
      <c r="E787" s="11" t="s">
        <v>276</v>
      </c>
    </row>
    <row r="788" spans="1:5" ht="15" x14ac:dyDescent="0.3">
      <c r="A788" s="1" t="s">
        <v>0</v>
      </c>
      <c r="B788" s="7">
        <v>363</v>
      </c>
      <c r="C788" s="8">
        <v>0.96286472148541113</v>
      </c>
      <c r="D788" s="9">
        <v>335</v>
      </c>
      <c r="E788" s="10">
        <v>0.97667638483965002</v>
      </c>
    </row>
    <row r="789" spans="1:5" ht="15" x14ac:dyDescent="0.3">
      <c r="A789" s="1" t="s">
        <v>159</v>
      </c>
      <c r="B789" s="7">
        <v>1</v>
      </c>
      <c r="C789" s="8">
        <v>2.6525198938992041E-3</v>
      </c>
      <c r="D789" s="9">
        <v>0</v>
      </c>
      <c r="E789" s="10">
        <v>0</v>
      </c>
    </row>
    <row r="790" spans="1:5" ht="15" x14ac:dyDescent="0.3">
      <c r="A790" s="1" t="s">
        <v>160</v>
      </c>
      <c r="B790" s="7">
        <v>1</v>
      </c>
      <c r="C790" s="8">
        <v>2.6525198938992041E-3</v>
      </c>
      <c r="D790" s="9">
        <v>0</v>
      </c>
      <c r="E790" s="10">
        <v>0</v>
      </c>
    </row>
    <row r="791" spans="1:5" ht="15" x14ac:dyDescent="0.3">
      <c r="A791" s="1" t="s">
        <v>161</v>
      </c>
      <c r="B791" s="7">
        <v>0</v>
      </c>
      <c r="C791" s="8">
        <v>0</v>
      </c>
      <c r="D791" s="9">
        <v>1</v>
      </c>
      <c r="E791" s="10">
        <v>2.9154518950437317E-3</v>
      </c>
    </row>
    <row r="792" spans="1:5" ht="15" x14ac:dyDescent="0.3">
      <c r="A792" s="1" t="s">
        <v>162</v>
      </c>
      <c r="B792" s="7">
        <v>1</v>
      </c>
      <c r="C792" s="8">
        <v>2.6525198938992041E-3</v>
      </c>
      <c r="D792" s="9">
        <v>0</v>
      </c>
      <c r="E792" s="10">
        <v>0</v>
      </c>
    </row>
    <row r="793" spans="1:5" ht="15" x14ac:dyDescent="0.3">
      <c r="A793" s="1" t="s">
        <v>163</v>
      </c>
      <c r="B793" s="7">
        <v>0</v>
      </c>
      <c r="C793" s="8">
        <v>0</v>
      </c>
      <c r="D793" s="9">
        <v>1</v>
      </c>
      <c r="E793" s="10">
        <v>2.9154518950437317E-3</v>
      </c>
    </row>
    <row r="794" spans="1:5" ht="15" x14ac:dyDescent="0.3">
      <c r="A794" s="1" t="s">
        <v>164</v>
      </c>
      <c r="B794" s="7">
        <v>1</v>
      </c>
      <c r="C794" s="8">
        <v>2.6525198938992041E-3</v>
      </c>
      <c r="D794" s="9">
        <v>0</v>
      </c>
      <c r="E794" s="10">
        <v>0</v>
      </c>
    </row>
    <row r="795" spans="1:5" ht="15" x14ac:dyDescent="0.3">
      <c r="A795" s="1" t="s">
        <v>165</v>
      </c>
      <c r="B795" s="7">
        <v>1</v>
      </c>
      <c r="C795" s="8">
        <v>2.6525198938992041E-3</v>
      </c>
      <c r="D795" s="9">
        <v>0</v>
      </c>
      <c r="E795" s="10">
        <v>0</v>
      </c>
    </row>
    <row r="796" spans="1:5" ht="15" x14ac:dyDescent="0.3">
      <c r="A796" s="1" t="s">
        <v>166</v>
      </c>
      <c r="B796" s="7">
        <v>0</v>
      </c>
      <c r="C796" s="8">
        <v>0</v>
      </c>
      <c r="D796" s="9">
        <v>1</v>
      </c>
      <c r="E796" s="10">
        <v>2.9154518950437317E-3</v>
      </c>
    </row>
    <row r="797" spans="1:5" ht="15" x14ac:dyDescent="0.3">
      <c r="A797" s="1" t="s">
        <v>167</v>
      </c>
      <c r="B797" s="7">
        <v>1</v>
      </c>
      <c r="C797" s="8">
        <v>2.6525198938992041E-3</v>
      </c>
      <c r="D797" s="9">
        <v>0</v>
      </c>
      <c r="E797" s="10">
        <v>0</v>
      </c>
    </row>
    <row r="798" spans="1:5" ht="15" x14ac:dyDescent="0.3">
      <c r="A798" s="1" t="s">
        <v>168</v>
      </c>
      <c r="B798" s="7">
        <v>1</v>
      </c>
      <c r="C798" s="8">
        <v>2.6525198938992041E-3</v>
      </c>
      <c r="D798" s="9">
        <v>0</v>
      </c>
      <c r="E798" s="10">
        <v>0</v>
      </c>
    </row>
    <row r="799" spans="1:5" ht="15" x14ac:dyDescent="0.3">
      <c r="A799" s="1" t="s">
        <v>78</v>
      </c>
      <c r="B799" s="7">
        <v>1</v>
      </c>
      <c r="C799" s="8">
        <v>2.6525198938992041E-3</v>
      </c>
      <c r="D799" s="9">
        <v>1</v>
      </c>
      <c r="E799" s="10">
        <v>2.9154518950437317E-3</v>
      </c>
    </row>
    <row r="800" spans="1:5" ht="15" x14ac:dyDescent="0.3">
      <c r="A800" s="1" t="s">
        <v>169</v>
      </c>
      <c r="B800" s="7">
        <v>0</v>
      </c>
      <c r="C800" s="8">
        <v>0</v>
      </c>
      <c r="D800" s="9">
        <v>1</v>
      </c>
      <c r="E800" s="10">
        <v>2.9154518950437317E-3</v>
      </c>
    </row>
    <row r="801" spans="1:5" ht="15" x14ac:dyDescent="0.3">
      <c r="A801" s="1" t="s">
        <v>170</v>
      </c>
      <c r="B801" s="7">
        <v>1</v>
      </c>
      <c r="C801" s="8">
        <v>2.6525198938992041E-3</v>
      </c>
      <c r="D801" s="9">
        <v>0</v>
      </c>
      <c r="E801" s="10">
        <v>0</v>
      </c>
    </row>
    <row r="802" spans="1:5" ht="15" x14ac:dyDescent="0.3">
      <c r="A802" s="1" t="s">
        <v>171</v>
      </c>
      <c r="B802" s="7">
        <v>2</v>
      </c>
      <c r="C802" s="8">
        <v>5.3050397877984082E-3</v>
      </c>
      <c r="D802" s="9">
        <v>0</v>
      </c>
      <c r="E802" s="10">
        <v>0</v>
      </c>
    </row>
    <row r="803" spans="1:5" ht="15" x14ac:dyDescent="0.3">
      <c r="A803" s="1" t="s">
        <v>172</v>
      </c>
      <c r="B803" s="7">
        <v>0</v>
      </c>
      <c r="C803" s="8">
        <v>0</v>
      </c>
      <c r="D803" s="9">
        <v>1</v>
      </c>
      <c r="E803" s="10">
        <v>2.9154518950437317E-3</v>
      </c>
    </row>
    <row r="804" spans="1:5" ht="15" x14ac:dyDescent="0.3">
      <c r="A804" s="1" t="s">
        <v>173</v>
      </c>
      <c r="B804" s="7">
        <v>1</v>
      </c>
      <c r="C804" s="8">
        <v>2.6525198938992041E-3</v>
      </c>
      <c r="D804" s="9">
        <v>0</v>
      </c>
      <c r="E804" s="10">
        <v>0</v>
      </c>
    </row>
    <row r="805" spans="1:5" ht="15" x14ac:dyDescent="0.3">
      <c r="A805" s="1" t="s">
        <v>174</v>
      </c>
      <c r="B805" s="7">
        <v>2</v>
      </c>
      <c r="C805" s="8">
        <v>5.3050397877984082E-3</v>
      </c>
      <c r="D805" s="9">
        <v>0</v>
      </c>
      <c r="E805" s="10">
        <v>0</v>
      </c>
    </row>
    <row r="806" spans="1:5" ht="15" x14ac:dyDescent="0.3">
      <c r="A806" s="21" t="s">
        <v>175</v>
      </c>
      <c r="B806" s="22">
        <v>0</v>
      </c>
      <c r="C806" s="23">
        <v>0</v>
      </c>
      <c r="D806" s="24">
        <v>1</v>
      </c>
      <c r="E806" s="25">
        <v>2.9154518950437317E-3</v>
      </c>
    </row>
    <row r="807" spans="1:5" ht="15.6" x14ac:dyDescent="0.3">
      <c r="A807" s="31" t="s">
        <v>4</v>
      </c>
      <c r="B807" s="35">
        <f>SUBTOTAL(109,Table84[Pre Count])</f>
        <v>377</v>
      </c>
      <c r="C807" s="36">
        <f>SUBTOTAL(109,Table84[Pre Count %])</f>
        <v>1.0000000000000004</v>
      </c>
      <c r="D807" s="37">
        <f>SUBTOTAL(109,Table84[Post Count])</f>
        <v>342</v>
      </c>
      <c r="E807" s="34">
        <f>SUBTOTAL(109,Table84[Post Count %])</f>
        <v>0.99708454810495606</v>
      </c>
    </row>
    <row r="808" spans="1:5" ht="15" x14ac:dyDescent="0.3">
      <c r="A808" s="15"/>
      <c r="B808" s="7"/>
      <c r="C808" s="8"/>
      <c r="D808" s="9"/>
      <c r="E808" s="10"/>
    </row>
    <row r="809" spans="1:5" ht="15" x14ac:dyDescent="0.3">
      <c r="A809" s="45" t="s">
        <v>364</v>
      </c>
      <c r="B809" s="45"/>
      <c r="C809" s="45"/>
      <c r="D809" s="45"/>
      <c r="E809" s="45"/>
    </row>
    <row r="810" spans="1:5" ht="15.6" x14ac:dyDescent="0.3">
      <c r="A810" s="11" t="s">
        <v>278</v>
      </c>
      <c r="B810" s="11" t="s">
        <v>274</v>
      </c>
      <c r="C810" s="11" t="s">
        <v>277</v>
      </c>
      <c r="D810" s="11" t="s">
        <v>275</v>
      </c>
      <c r="E810" s="11" t="s">
        <v>276</v>
      </c>
    </row>
    <row r="811" spans="1:5" ht="15" x14ac:dyDescent="0.3">
      <c r="A811" s="1" t="s">
        <v>0</v>
      </c>
      <c r="B811" s="7">
        <v>35</v>
      </c>
      <c r="C811" s="8">
        <v>9.2838196286472149E-2</v>
      </c>
      <c r="D811" s="9">
        <v>25</v>
      </c>
      <c r="E811" s="10">
        <v>7.2886297376093298E-2</v>
      </c>
    </row>
    <row r="812" spans="1:5" ht="15" x14ac:dyDescent="0.3">
      <c r="A812" s="1" t="s">
        <v>176</v>
      </c>
      <c r="B812" s="7">
        <v>0</v>
      </c>
      <c r="C812" s="8">
        <v>0</v>
      </c>
      <c r="D812" s="9">
        <v>2</v>
      </c>
      <c r="E812" s="10">
        <v>5.8309037900874635E-3</v>
      </c>
    </row>
    <row r="813" spans="1:5" ht="15" x14ac:dyDescent="0.3">
      <c r="A813" s="1" t="s">
        <v>177</v>
      </c>
      <c r="B813" s="7">
        <v>289</v>
      </c>
      <c r="C813" s="8">
        <v>0.76657824933686991</v>
      </c>
      <c r="D813" s="9">
        <v>266</v>
      </c>
      <c r="E813" s="10">
        <v>0.77551020408163263</v>
      </c>
    </row>
    <row r="814" spans="1:5" ht="15" x14ac:dyDescent="0.3">
      <c r="A814" s="1" t="s">
        <v>178</v>
      </c>
      <c r="B814" s="7">
        <v>6</v>
      </c>
      <c r="C814" s="8">
        <v>1.5915119363395226E-2</v>
      </c>
      <c r="D814" s="9">
        <v>5</v>
      </c>
      <c r="E814" s="10">
        <v>1.4577259475218658E-2</v>
      </c>
    </row>
    <row r="815" spans="1:5" ht="15" x14ac:dyDescent="0.3">
      <c r="A815" s="1" t="s">
        <v>179</v>
      </c>
      <c r="B815" s="7">
        <v>8</v>
      </c>
      <c r="C815" s="8">
        <v>2.1220159151193633E-2</v>
      </c>
      <c r="D815" s="9">
        <v>6</v>
      </c>
      <c r="E815" s="10">
        <v>1.7492711370262391E-2</v>
      </c>
    </row>
    <row r="816" spans="1:5" ht="15" x14ac:dyDescent="0.3">
      <c r="A816" s="1" t="s">
        <v>55</v>
      </c>
      <c r="B816" s="7">
        <v>30</v>
      </c>
      <c r="C816" s="8">
        <v>7.9575596816976124E-2</v>
      </c>
      <c r="D816" s="9">
        <v>35</v>
      </c>
      <c r="E816" s="10">
        <v>0.10204081632653061</v>
      </c>
    </row>
    <row r="817" spans="1:5" ht="15" x14ac:dyDescent="0.3">
      <c r="A817" s="1" t="s">
        <v>180</v>
      </c>
      <c r="B817" s="7">
        <v>5</v>
      </c>
      <c r="C817" s="8">
        <v>1.3262599469496022E-2</v>
      </c>
      <c r="D817" s="9">
        <v>2</v>
      </c>
      <c r="E817" s="10">
        <v>5.8309037900874635E-3</v>
      </c>
    </row>
    <row r="818" spans="1:5" ht="15" x14ac:dyDescent="0.3">
      <c r="A818" s="21" t="s">
        <v>181</v>
      </c>
      <c r="B818" s="22">
        <v>4</v>
      </c>
      <c r="C818" s="23">
        <v>1.0610079575596816E-2</v>
      </c>
      <c r="D818" s="24">
        <v>2</v>
      </c>
      <c r="E818" s="25">
        <v>5.8309037900874635E-3</v>
      </c>
    </row>
    <row r="819" spans="1:5" ht="15.6" x14ac:dyDescent="0.3">
      <c r="A819" s="31" t="s">
        <v>4</v>
      </c>
      <c r="B819" s="35">
        <f>SUBTOTAL(109,Table88[Pre Count])</f>
        <v>377</v>
      </c>
      <c r="C819" s="36">
        <f>SUBTOTAL(109,Table88[Pre Count %])</f>
        <v>0.99999999999999989</v>
      </c>
      <c r="D819" s="37">
        <f>SUBTOTAL(109,Table88[Post Count])</f>
        <v>343</v>
      </c>
      <c r="E819" s="34">
        <f>SUBTOTAL(109,Table88[Post Count %])</f>
        <v>1</v>
      </c>
    </row>
    <row r="820" spans="1:5" ht="15" x14ac:dyDescent="0.3">
      <c r="A820" s="15"/>
      <c r="B820" s="7"/>
      <c r="C820" s="8"/>
      <c r="D820" s="9"/>
      <c r="E820" s="10"/>
    </row>
    <row r="821" spans="1:5" ht="15" x14ac:dyDescent="0.3">
      <c r="A821" s="46" t="s">
        <v>365</v>
      </c>
      <c r="B821" s="46"/>
      <c r="C821" s="46"/>
      <c r="D821" s="46"/>
      <c r="E821" s="46"/>
    </row>
    <row r="822" spans="1:5" ht="15" x14ac:dyDescent="0.3">
      <c r="A822" s="11" t="s">
        <v>278</v>
      </c>
      <c r="B822" s="11" t="s">
        <v>274</v>
      </c>
      <c r="C822" s="11" t="s">
        <v>277</v>
      </c>
      <c r="D822" s="11" t="s">
        <v>275</v>
      </c>
      <c r="E822" s="11" t="s">
        <v>276</v>
      </c>
    </row>
    <row r="823" spans="1:5" ht="15" x14ac:dyDescent="0.3">
      <c r="A823" s="1" t="s">
        <v>51</v>
      </c>
      <c r="B823" s="7">
        <v>156</v>
      </c>
      <c r="C823" s="8">
        <v>0.45614035087719296</v>
      </c>
      <c r="D823" s="9">
        <v>151</v>
      </c>
      <c r="E823" s="10">
        <v>0.47484276729559755</v>
      </c>
    </row>
    <row r="824" spans="1:5" ht="15" x14ac:dyDescent="0.3">
      <c r="A824" s="21" t="s">
        <v>67</v>
      </c>
      <c r="B824" s="22">
        <v>186</v>
      </c>
      <c r="C824" s="23">
        <v>0.54385964912280704</v>
      </c>
      <c r="D824" s="24">
        <v>167</v>
      </c>
      <c r="E824" s="25">
        <v>0.52515723270440251</v>
      </c>
    </row>
    <row r="825" spans="1:5" ht="15.6" x14ac:dyDescent="0.3">
      <c r="A825" s="31" t="s">
        <v>4</v>
      </c>
      <c r="B825" s="35">
        <f>SUBTOTAL(109,Table89[Pre Count])</f>
        <v>342</v>
      </c>
      <c r="C825" s="36">
        <f>SUBTOTAL(109,Table89[Pre Count %])</f>
        <v>1</v>
      </c>
      <c r="D825" s="37">
        <f>SUBTOTAL(109,Table89[Post Count])</f>
        <v>318</v>
      </c>
      <c r="E825" s="34">
        <f>SUBTOTAL(109,Table89[Post Count %])</f>
        <v>1</v>
      </c>
    </row>
    <row r="826" spans="1:5" ht="15.6" x14ac:dyDescent="0.3">
      <c r="A826" s="11" t="s">
        <v>278</v>
      </c>
      <c r="B826" s="11" t="s">
        <v>274</v>
      </c>
      <c r="C826" s="11" t="s">
        <v>277</v>
      </c>
      <c r="D826" s="11" t="s">
        <v>275</v>
      </c>
      <c r="E826" s="11" t="s">
        <v>276</v>
      </c>
    </row>
    <row r="827" spans="1:5" ht="15" x14ac:dyDescent="0.3">
      <c r="A827" s="1" t="s">
        <v>0</v>
      </c>
      <c r="B827" s="7">
        <v>222</v>
      </c>
      <c r="C827" s="8">
        <v>0.58885941644562334</v>
      </c>
      <c r="D827" s="9">
        <v>203</v>
      </c>
      <c r="E827" s="10">
        <v>0.59183673469387754</v>
      </c>
    </row>
    <row r="828" spans="1:5" ht="15" x14ac:dyDescent="0.3">
      <c r="A828" s="1" t="s">
        <v>51</v>
      </c>
      <c r="B828" s="7">
        <v>18</v>
      </c>
      <c r="C828" s="8">
        <v>4.7745358090185673E-2</v>
      </c>
      <c r="D828" s="9">
        <v>19</v>
      </c>
      <c r="E828" s="10">
        <v>5.5393586005830907E-2</v>
      </c>
    </row>
    <row r="829" spans="1:5" ht="15.6" x14ac:dyDescent="0.3">
      <c r="A829" s="21" t="s">
        <v>67</v>
      </c>
      <c r="B829" s="22">
        <v>137</v>
      </c>
      <c r="C829" s="23">
        <v>0.36339522546419106</v>
      </c>
      <c r="D829" s="24">
        <v>121</v>
      </c>
      <c r="E829" s="25">
        <v>0.35276967930029157</v>
      </c>
    </row>
    <row r="830" spans="1:5" ht="15.6" x14ac:dyDescent="0.3">
      <c r="A830" s="31" t="s">
        <v>4</v>
      </c>
      <c r="B830" s="35">
        <f>SUBTOTAL(109,Table90[Pre Count])</f>
        <v>377</v>
      </c>
      <c r="C830" s="36">
        <f>SUBTOTAL(109,Table90[Pre Count %])</f>
        <v>1</v>
      </c>
      <c r="D830" s="37">
        <f>SUBTOTAL(109,Table90[Post Count])</f>
        <v>343</v>
      </c>
      <c r="E830" s="34">
        <f>SUBTOTAL(109,Table90[Post Count %])</f>
        <v>1</v>
      </c>
    </row>
    <row r="831" spans="1:5" ht="15" x14ac:dyDescent="0.3">
      <c r="A831" s="15"/>
      <c r="B831" s="7"/>
      <c r="C831" s="8"/>
      <c r="D831" s="9"/>
      <c r="E831" s="10"/>
    </row>
    <row r="832" spans="1:5" ht="15" x14ac:dyDescent="0.3">
      <c r="A832" s="46" t="s">
        <v>366</v>
      </c>
      <c r="B832" s="46"/>
      <c r="C832" s="46"/>
      <c r="D832" s="46"/>
      <c r="E832" s="46"/>
    </row>
    <row r="833" spans="1:5" ht="15" x14ac:dyDescent="0.3">
      <c r="A833" s="11" t="s">
        <v>278</v>
      </c>
      <c r="B833" s="11" t="s">
        <v>274</v>
      </c>
      <c r="C833" s="11" t="s">
        <v>277</v>
      </c>
      <c r="D833" s="11" t="s">
        <v>275</v>
      </c>
      <c r="E833" s="11" t="s">
        <v>276</v>
      </c>
    </row>
    <row r="834" spans="1:5" ht="15" x14ac:dyDescent="0.3">
      <c r="A834" s="1" t="s">
        <v>0</v>
      </c>
      <c r="B834" s="7">
        <v>266</v>
      </c>
      <c r="C834" s="8">
        <v>0.70557029177718833</v>
      </c>
      <c r="D834" s="9">
        <v>236</v>
      </c>
      <c r="E834" s="10">
        <v>0.68804664723032072</v>
      </c>
    </row>
    <row r="835" spans="1:5" ht="15" x14ac:dyDescent="0.3">
      <c r="A835" s="1" t="s">
        <v>51</v>
      </c>
      <c r="B835" s="7">
        <v>43</v>
      </c>
      <c r="C835" s="8">
        <v>0.11405835543766578</v>
      </c>
      <c r="D835" s="9">
        <v>37</v>
      </c>
      <c r="E835" s="10">
        <v>0.10787172011661808</v>
      </c>
    </row>
    <row r="836" spans="1:5" ht="15" x14ac:dyDescent="0.3">
      <c r="A836" s="21" t="s">
        <v>67</v>
      </c>
      <c r="B836" s="22">
        <v>68</v>
      </c>
      <c r="C836" s="23">
        <v>0.18037135278514588</v>
      </c>
      <c r="D836" s="24">
        <v>70</v>
      </c>
      <c r="E836" s="25">
        <v>0.20408163265306123</v>
      </c>
    </row>
    <row r="837" spans="1:5" ht="15.6" x14ac:dyDescent="0.3">
      <c r="A837" s="31" t="s">
        <v>4</v>
      </c>
      <c r="B837" s="35">
        <f>SUBTOTAL(109,Table91[Pre Count])</f>
        <v>377</v>
      </c>
      <c r="C837" s="36">
        <f>SUBTOTAL(109,Table91[Pre Count %])</f>
        <v>1</v>
      </c>
      <c r="D837" s="37">
        <f>SUBTOTAL(109,Table91[Post Count])</f>
        <v>343</v>
      </c>
      <c r="E837" s="34">
        <f>SUBTOTAL(109,Table91[Post Count %])</f>
        <v>1</v>
      </c>
    </row>
    <row r="838" spans="1:5" ht="15" x14ac:dyDescent="0.3">
      <c r="A838" s="15"/>
      <c r="B838" s="7"/>
      <c r="C838" s="8"/>
      <c r="D838" s="9"/>
      <c r="E838" s="10"/>
    </row>
    <row r="839" spans="1:5" ht="15" x14ac:dyDescent="0.3">
      <c r="A839" s="46" t="s">
        <v>367</v>
      </c>
      <c r="B839" s="46"/>
      <c r="C839" s="46"/>
      <c r="D839" s="46"/>
      <c r="E839" s="46"/>
    </row>
    <row r="840" spans="1:5" ht="15" x14ac:dyDescent="0.3">
      <c r="A840" s="11" t="s">
        <v>278</v>
      </c>
      <c r="B840" s="11" t="s">
        <v>274</v>
      </c>
      <c r="C840" s="11" t="s">
        <v>277</v>
      </c>
      <c r="D840" s="11" t="s">
        <v>275</v>
      </c>
      <c r="E840" s="11" t="s">
        <v>276</v>
      </c>
    </row>
    <row r="841" spans="1:5" ht="15" x14ac:dyDescent="0.3">
      <c r="A841" s="1" t="s">
        <v>0</v>
      </c>
      <c r="B841" s="7">
        <v>39</v>
      </c>
      <c r="C841" s="8">
        <v>0.10344827586206896</v>
      </c>
      <c r="D841" s="9">
        <v>28</v>
      </c>
      <c r="E841" s="10">
        <v>8.1632653061224497E-2</v>
      </c>
    </row>
    <row r="842" spans="1:5" ht="15" x14ac:dyDescent="0.3">
      <c r="A842" s="1" t="s">
        <v>185</v>
      </c>
      <c r="B842" s="7">
        <v>4</v>
      </c>
      <c r="C842" s="8">
        <v>1.0610079575596816E-2</v>
      </c>
      <c r="D842" s="9">
        <v>4</v>
      </c>
      <c r="E842" s="10">
        <v>1.1661807580174927E-2</v>
      </c>
    </row>
    <row r="843" spans="1:5" ht="15" x14ac:dyDescent="0.3">
      <c r="A843" s="1" t="s">
        <v>186</v>
      </c>
      <c r="B843" s="7">
        <v>35</v>
      </c>
      <c r="C843" s="8">
        <v>9.2838196286472149E-2</v>
      </c>
      <c r="D843" s="9">
        <v>41</v>
      </c>
      <c r="E843" s="10">
        <v>0.119533527696793</v>
      </c>
    </row>
    <row r="844" spans="1:5" ht="15" x14ac:dyDescent="0.3">
      <c r="A844" s="1" t="s">
        <v>187</v>
      </c>
      <c r="B844" s="7">
        <v>2</v>
      </c>
      <c r="C844" s="8">
        <v>5.3050397877984082E-3</v>
      </c>
      <c r="D844" s="9">
        <v>3</v>
      </c>
      <c r="E844" s="10">
        <v>8.7463556851311956E-3</v>
      </c>
    </row>
    <row r="845" spans="1:5" ht="15" x14ac:dyDescent="0.3">
      <c r="A845" s="1" t="s">
        <v>188</v>
      </c>
      <c r="B845" s="7">
        <v>17</v>
      </c>
      <c r="C845" s="8">
        <v>4.5092838196286469E-2</v>
      </c>
      <c r="D845" s="9">
        <v>17</v>
      </c>
      <c r="E845" s="10">
        <v>4.9562682215743441E-2</v>
      </c>
    </row>
    <row r="846" spans="1:5" ht="15" x14ac:dyDescent="0.3">
      <c r="A846" s="1" t="s">
        <v>189</v>
      </c>
      <c r="B846" s="7">
        <v>4</v>
      </c>
      <c r="C846" s="8">
        <v>1.0610079575596816E-2</v>
      </c>
      <c r="D846" s="9">
        <v>9</v>
      </c>
      <c r="E846" s="10">
        <v>2.6239067055393587E-2</v>
      </c>
    </row>
    <row r="847" spans="1:5" ht="15" x14ac:dyDescent="0.3">
      <c r="A847" s="1" t="s">
        <v>190</v>
      </c>
      <c r="B847" s="7">
        <v>4</v>
      </c>
      <c r="C847" s="8">
        <v>1.0610079575596816E-2</v>
      </c>
      <c r="D847" s="9">
        <v>3</v>
      </c>
      <c r="E847" s="10">
        <v>8.7463556851311956E-3</v>
      </c>
    </row>
    <row r="848" spans="1:5" ht="15" x14ac:dyDescent="0.3">
      <c r="A848" s="1" t="s">
        <v>191</v>
      </c>
      <c r="B848" s="7">
        <v>0</v>
      </c>
      <c r="C848" s="8">
        <v>0</v>
      </c>
      <c r="D848" s="9">
        <v>1</v>
      </c>
      <c r="E848" s="10">
        <v>2.9154518950437317E-3</v>
      </c>
    </row>
    <row r="849" spans="1:5" ht="15" x14ac:dyDescent="0.3">
      <c r="A849" s="1" t="s">
        <v>192</v>
      </c>
      <c r="B849" s="7">
        <v>3</v>
      </c>
      <c r="C849" s="8">
        <v>7.9575596816976128E-3</v>
      </c>
      <c r="D849" s="9">
        <v>2</v>
      </c>
      <c r="E849" s="10">
        <v>5.8309037900874635E-3</v>
      </c>
    </row>
    <row r="850" spans="1:5" ht="15" x14ac:dyDescent="0.3">
      <c r="A850" s="1" t="s">
        <v>193</v>
      </c>
      <c r="B850" s="7">
        <v>1</v>
      </c>
      <c r="C850" s="8">
        <v>2.6525198938992041E-3</v>
      </c>
      <c r="D850" s="9">
        <v>0</v>
      </c>
      <c r="E850" s="10">
        <v>0</v>
      </c>
    </row>
    <row r="851" spans="1:5" ht="15" x14ac:dyDescent="0.3">
      <c r="A851" s="1" t="s">
        <v>194</v>
      </c>
      <c r="B851" s="7">
        <v>12</v>
      </c>
      <c r="C851" s="8">
        <v>3.1830238726790451E-2</v>
      </c>
      <c r="D851" s="9">
        <v>9</v>
      </c>
      <c r="E851" s="10">
        <v>2.6239067055393587E-2</v>
      </c>
    </row>
    <row r="852" spans="1:5" ht="15" x14ac:dyDescent="0.3">
      <c r="A852" s="1" t="s">
        <v>195</v>
      </c>
      <c r="B852" s="7">
        <v>9</v>
      </c>
      <c r="C852" s="8">
        <v>2.3872679045092837E-2</v>
      </c>
      <c r="D852" s="9">
        <v>14</v>
      </c>
      <c r="E852" s="10">
        <v>4.0816326530612249E-2</v>
      </c>
    </row>
    <row r="853" spans="1:5" ht="15" x14ac:dyDescent="0.3">
      <c r="A853" s="1" t="s">
        <v>196</v>
      </c>
      <c r="B853" s="7">
        <v>1</v>
      </c>
      <c r="C853" s="8">
        <v>2.6525198938992041E-3</v>
      </c>
      <c r="D853" s="9">
        <v>0</v>
      </c>
      <c r="E853" s="10">
        <v>0</v>
      </c>
    </row>
    <row r="854" spans="1:5" ht="15" x14ac:dyDescent="0.3">
      <c r="A854" s="1" t="s">
        <v>197</v>
      </c>
      <c r="B854" s="7">
        <v>16</v>
      </c>
      <c r="C854" s="8">
        <v>4.2440318302387266E-2</v>
      </c>
      <c r="D854" s="9">
        <v>12</v>
      </c>
      <c r="E854" s="10">
        <v>3.4985422740524783E-2</v>
      </c>
    </row>
    <row r="855" spans="1:5" ht="15" x14ac:dyDescent="0.3">
      <c r="A855" s="1" t="s">
        <v>198</v>
      </c>
      <c r="B855" s="7">
        <v>4</v>
      </c>
      <c r="C855" s="8">
        <v>1.0610079575596816E-2</v>
      </c>
      <c r="D855" s="9">
        <v>0</v>
      </c>
      <c r="E855" s="10">
        <v>0</v>
      </c>
    </row>
    <row r="856" spans="1:5" ht="15" x14ac:dyDescent="0.3">
      <c r="A856" s="1" t="s">
        <v>199</v>
      </c>
      <c r="B856" s="7">
        <v>1</v>
      </c>
      <c r="C856" s="8">
        <v>2.6525198938992041E-3</v>
      </c>
      <c r="D856" s="9">
        <v>1</v>
      </c>
      <c r="E856" s="10">
        <v>2.9154518950437317E-3</v>
      </c>
    </row>
    <row r="857" spans="1:5" ht="15" x14ac:dyDescent="0.3">
      <c r="A857" s="1" t="s">
        <v>200</v>
      </c>
      <c r="B857" s="7">
        <v>15</v>
      </c>
      <c r="C857" s="8">
        <v>3.9787798408488062E-2</v>
      </c>
      <c r="D857" s="9">
        <v>8</v>
      </c>
      <c r="E857" s="10">
        <v>2.3323615160349854E-2</v>
      </c>
    </row>
    <row r="858" spans="1:5" ht="15" x14ac:dyDescent="0.3">
      <c r="A858" s="1" t="s">
        <v>201</v>
      </c>
      <c r="B858" s="7">
        <v>13</v>
      </c>
      <c r="C858" s="8">
        <v>3.4482758620689655E-2</v>
      </c>
      <c r="D858" s="9">
        <v>9</v>
      </c>
      <c r="E858" s="10">
        <v>2.6239067055393587E-2</v>
      </c>
    </row>
    <row r="859" spans="1:5" ht="15" x14ac:dyDescent="0.3">
      <c r="A859" s="1" t="s">
        <v>202</v>
      </c>
      <c r="B859" s="7">
        <v>0</v>
      </c>
      <c r="C859" s="8">
        <v>0</v>
      </c>
      <c r="D859" s="9">
        <v>2</v>
      </c>
      <c r="E859" s="10">
        <v>5.8309037900874635E-3</v>
      </c>
    </row>
    <row r="860" spans="1:5" ht="30" x14ac:dyDescent="0.3">
      <c r="A860" s="1" t="s">
        <v>203</v>
      </c>
      <c r="B860" s="7">
        <v>31</v>
      </c>
      <c r="C860" s="8">
        <v>8.2228116710875335E-2</v>
      </c>
      <c r="D860" s="9">
        <v>27</v>
      </c>
      <c r="E860" s="10">
        <v>7.8717201166180764E-2</v>
      </c>
    </row>
    <row r="861" spans="1:5" ht="15" x14ac:dyDescent="0.3">
      <c r="A861" s="1" t="s">
        <v>204</v>
      </c>
      <c r="B861" s="7">
        <v>60</v>
      </c>
      <c r="C861" s="8">
        <v>0.15915119363395225</v>
      </c>
      <c r="D861" s="9">
        <v>78</v>
      </c>
      <c r="E861" s="10">
        <v>0.22740524781341109</v>
      </c>
    </row>
    <row r="862" spans="1:5" ht="15" x14ac:dyDescent="0.3">
      <c r="A862" s="1" t="s">
        <v>205</v>
      </c>
      <c r="B862" s="7">
        <v>1</v>
      </c>
      <c r="C862" s="8">
        <v>2.6525198938992041E-3</v>
      </c>
      <c r="D862" s="9">
        <v>2</v>
      </c>
      <c r="E862" s="10">
        <v>5.8309037900874635E-3</v>
      </c>
    </row>
    <row r="863" spans="1:5" ht="15" x14ac:dyDescent="0.3">
      <c r="A863" s="1" t="s">
        <v>206</v>
      </c>
      <c r="B863" s="7">
        <v>1</v>
      </c>
      <c r="C863" s="8">
        <v>2.6525198938992041E-3</v>
      </c>
      <c r="D863" s="9">
        <v>0</v>
      </c>
      <c r="E863" s="10">
        <v>0</v>
      </c>
    </row>
    <row r="864" spans="1:5" ht="30" x14ac:dyDescent="0.3">
      <c r="A864" s="1" t="s">
        <v>207</v>
      </c>
      <c r="B864" s="7">
        <v>0</v>
      </c>
      <c r="C864" s="8">
        <v>0</v>
      </c>
      <c r="D864" s="9">
        <v>1</v>
      </c>
      <c r="E864" s="10">
        <v>2.9154518950437317E-3</v>
      </c>
    </row>
    <row r="865" spans="1:5" ht="15" x14ac:dyDescent="0.3">
      <c r="A865" s="1" t="s">
        <v>208</v>
      </c>
      <c r="B865" s="7">
        <v>2</v>
      </c>
      <c r="C865" s="8">
        <v>5.3050397877984082E-3</v>
      </c>
      <c r="D865" s="9">
        <v>1</v>
      </c>
      <c r="E865" s="10">
        <v>2.9154518950437317E-3</v>
      </c>
    </row>
    <row r="866" spans="1:5" ht="15" x14ac:dyDescent="0.3">
      <c r="A866" s="1" t="s">
        <v>209</v>
      </c>
      <c r="B866" s="7">
        <v>0</v>
      </c>
      <c r="C866" s="8">
        <v>0</v>
      </c>
      <c r="D866" s="9">
        <v>1</v>
      </c>
      <c r="E866" s="10">
        <v>2.9154518950437317E-3</v>
      </c>
    </row>
    <row r="867" spans="1:5" ht="15" x14ac:dyDescent="0.3">
      <c r="A867" s="1" t="s">
        <v>210</v>
      </c>
      <c r="B867" s="7">
        <v>0</v>
      </c>
      <c r="C867" s="8">
        <v>0</v>
      </c>
      <c r="D867" s="9">
        <v>2</v>
      </c>
      <c r="E867" s="10">
        <v>5.8309037900874635E-3</v>
      </c>
    </row>
    <row r="868" spans="1:5" ht="15" x14ac:dyDescent="0.3">
      <c r="A868" s="1" t="s">
        <v>182</v>
      </c>
      <c r="B868" s="7">
        <v>56</v>
      </c>
      <c r="C868" s="8">
        <v>0.14854111405835543</v>
      </c>
      <c r="D868" s="9">
        <v>37</v>
      </c>
      <c r="E868" s="10">
        <v>0.10787172011661808</v>
      </c>
    </row>
    <row r="869" spans="1:5" ht="15" x14ac:dyDescent="0.3">
      <c r="A869" s="1" t="s">
        <v>211</v>
      </c>
      <c r="B869" s="7">
        <v>1</v>
      </c>
      <c r="C869" s="8">
        <v>2.6525198938992041E-3</v>
      </c>
      <c r="D869" s="9">
        <v>0</v>
      </c>
      <c r="E869" s="10">
        <v>0</v>
      </c>
    </row>
    <row r="870" spans="1:5" ht="15" x14ac:dyDescent="0.3">
      <c r="A870" s="1" t="s">
        <v>183</v>
      </c>
      <c r="B870" s="7">
        <v>0</v>
      </c>
      <c r="C870" s="8">
        <v>0</v>
      </c>
      <c r="D870" s="9">
        <v>4</v>
      </c>
      <c r="E870" s="10">
        <v>1.1661807580174927E-2</v>
      </c>
    </row>
    <row r="871" spans="1:5" ht="15" x14ac:dyDescent="0.3">
      <c r="A871" s="1" t="s">
        <v>212</v>
      </c>
      <c r="B871" s="7">
        <v>33</v>
      </c>
      <c r="C871" s="8">
        <v>8.7533156498673742E-2</v>
      </c>
      <c r="D871" s="9">
        <v>15</v>
      </c>
      <c r="E871" s="10">
        <v>4.3731778425655982E-2</v>
      </c>
    </row>
    <row r="872" spans="1:5" ht="15" x14ac:dyDescent="0.3">
      <c r="A872" s="1" t="s">
        <v>213</v>
      </c>
      <c r="B872" s="7">
        <v>1</v>
      </c>
      <c r="C872" s="8">
        <v>2.6525198938992041E-3</v>
      </c>
      <c r="D872" s="9">
        <v>1</v>
      </c>
      <c r="E872" s="10">
        <v>2.9154518950437317E-3</v>
      </c>
    </row>
    <row r="873" spans="1:5" ht="15" x14ac:dyDescent="0.3">
      <c r="A873" s="1" t="s">
        <v>214</v>
      </c>
      <c r="B873" s="7">
        <v>6</v>
      </c>
      <c r="C873" s="8">
        <v>1.5915119363395226E-2</v>
      </c>
      <c r="D873" s="9">
        <v>6</v>
      </c>
      <c r="E873" s="10">
        <v>1.7492711370262391E-2</v>
      </c>
    </row>
    <row r="874" spans="1:5" ht="15" x14ac:dyDescent="0.3">
      <c r="A874" s="1" t="s">
        <v>215</v>
      </c>
      <c r="B874" s="7">
        <v>2</v>
      </c>
      <c r="C874" s="8">
        <v>5.3050397877984082E-3</v>
      </c>
      <c r="D874" s="9">
        <v>1</v>
      </c>
      <c r="E874" s="10">
        <v>2.9154518950437317E-3</v>
      </c>
    </row>
    <row r="875" spans="1:5" ht="15" x14ac:dyDescent="0.3">
      <c r="A875" s="1" t="s">
        <v>184</v>
      </c>
      <c r="B875" s="7">
        <v>1</v>
      </c>
      <c r="C875" s="8">
        <v>2.6525198938992041E-3</v>
      </c>
      <c r="D875" s="9">
        <v>2</v>
      </c>
      <c r="E875" s="10">
        <v>5.8309037900874635E-3</v>
      </c>
    </row>
    <row r="876" spans="1:5" ht="15" x14ac:dyDescent="0.3">
      <c r="A876" s="21" t="s">
        <v>216</v>
      </c>
      <c r="B876" s="22">
        <v>2</v>
      </c>
      <c r="C876" s="23">
        <v>5.3050397877984082E-3</v>
      </c>
      <c r="D876" s="24">
        <v>2</v>
      </c>
      <c r="E876" s="25">
        <v>5.8309037900874635E-3</v>
      </c>
    </row>
    <row r="877" spans="1:5" ht="15.6" x14ac:dyDescent="0.3">
      <c r="A877" s="31" t="s">
        <v>4</v>
      </c>
      <c r="B877" s="35">
        <f>SUBTOTAL(109,Table92[Pre Count])</f>
        <v>377</v>
      </c>
      <c r="C877" s="36">
        <f>SUBTOTAL(109,Table92[Pre Count %])</f>
        <v>1.0000000000000002</v>
      </c>
      <c r="D877" s="37">
        <f>SUBTOTAL(109,Table92[Post Count])</f>
        <v>343</v>
      </c>
      <c r="E877" s="34">
        <f>SUBTOTAL(109,Table92[Post Count %])</f>
        <v>0.99999999999999978</v>
      </c>
    </row>
    <row r="878" spans="1:5" ht="15" x14ac:dyDescent="0.3">
      <c r="A878" s="15"/>
      <c r="B878" s="7"/>
      <c r="C878" s="8"/>
      <c r="D878" s="9"/>
      <c r="E878" s="10"/>
    </row>
    <row r="879" spans="1:5" ht="15" x14ac:dyDescent="0.3">
      <c r="A879" s="45" t="s">
        <v>368</v>
      </c>
      <c r="B879" s="45"/>
      <c r="C879" s="45"/>
      <c r="D879" s="45"/>
      <c r="E879" s="45"/>
    </row>
    <row r="880" spans="1:5" ht="15" x14ac:dyDescent="0.3">
      <c r="A880" s="11" t="s">
        <v>278</v>
      </c>
      <c r="B880" s="11" t="s">
        <v>274</v>
      </c>
      <c r="C880" s="11" t="s">
        <v>277</v>
      </c>
      <c r="D880" s="11" t="s">
        <v>275</v>
      </c>
      <c r="E880" s="11" t="s">
        <v>276</v>
      </c>
    </row>
    <row r="881" spans="1:5" ht="15" x14ac:dyDescent="0.3">
      <c r="A881" s="1" t="s">
        <v>0</v>
      </c>
      <c r="B881" s="7">
        <v>39</v>
      </c>
      <c r="C881" s="8">
        <v>0.10344827586206896</v>
      </c>
      <c r="D881" s="9">
        <v>28</v>
      </c>
      <c r="E881" s="10">
        <v>8.1632653061224497E-2</v>
      </c>
    </row>
    <row r="882" spans="1:5" ht="15" x14ac:dyDescent="0.3">
      <c r="A882" s="1" t="s">
        <v>217</v>
      </c>
      <c r="B882" s="7">
        <v>15</v>
      </c>
      <c r="C882" s="8">
        <v>3.9787798408488062E-2</v>
      </c>
      <c r="D882" s="9">
        <v>11</v>
      </c>
      <c r="E882" s="10">
        <v>3.2069970845481049E-2</v>
      </c>
    </row>
    <row r="883" spans="1:5" ht="15" x14ac:dyDescent="0.3">
      <c r="A883" s="1" t="s">
        <v>218</v>
      </c>
      <c r="B883" s="7">
        <v>90</v>
      </c>
      <c r="C883" s="8">
        <v>0.23872679045092837</v>
      </c>
      <c r="D883" s="9">
        <v>74</v>
      </c>
      <c r="E883" s="10">
        <v>0.21574344023323616</v>
      </c>
    </row>
    <row r="884" spans="1:5" ht="30" x14ac:dyDescent="0.3">
      <c r="A884" s="21" t="s">
        <v>219</v>
      </c>
      <c r="B884" s="22">
        <v>233</v>
      </c>
      <c r="C884" s="23">
        <v>0.61803713527851456</v>
      </c>
      <c r="D884" s="24">
        <v>230</v>
      </c>
      <c r="E884" s="25">
        <v>0.67055393586005829</v>
      </c>
    </row>
    <row r="885" spans="1:5" ht="15.6" x14ac:dyDescent="0.3">
      <c r="A885" s="31" t="s">
        <v>4</v>
      </c>
      <c r="B885" s="35">
        <f>SUBTOTAL(109,Table93[Pre Count])</f>
        <v>377</v>
      </c>
      <c r="C885" s="36">
        <f>SUBTOTAL(109,Table93[Pre Count %])</f>
        <v>1</v>
      </c>
      <c r="D885" s="37">
        <f>SUBTOTAL(109,Table93[Post Count])</f>
        <v>343</v>
      </c>
      <c r="E885" s="34">
        <f>SUBTOTAL(109,Table93[Post Count %])</f>
        <v>1</v>
      </c>
    </row>
    <row r="886" spans="1:5" ht="15" x14ac:dyDescent="0.3">
      <c r="A886" s="15"/>
      <c r="B886" s="7"/>
      <c r="C886" s="8"/>
      <c r="D886" s="9"/>
      <c r="E886" s="10"/>
    </row>
    <row r="887" spans="1:5" ht="15" x14ac:dyDescent="0.3">
      <c r="A887" s="14" t="s">
        <v>369</v>
      </c>
      <c r="B887" s="14"/>
      <c r="C887" s="14"/>
      <c r="D887" s="14"/>
      <c r="E887" s="14"/>
    </row>
    <row r="888" spans="1:5" ht="15" x14ac:dyDescent="0.3">
      <c r="A888" s="11" t="s">
        <v>278</v>
      </c>
      <c r="B888" s="11" t="s">
        <v>274</v>
      </c>
      <c r="C888" s="11" t="s">
        <v>277</v>
      </c>
      <c r="D888" s="11" t="s">
        <v>275</v>
      </c>
      <c r="E888" s="11" t="s">
        <v>276</v>
      </c>
    </row>
    <row r="889" spans="1:5" ht="15" x14ac:dyDescent="0.3">
      <c r="A889" s="1" t="s">
        <v>0</v>
      </c>
      <c r="B889" s="7">
        <v>116</v>
      </c>
      <c r="C889" s="8">
        <v>0.30769230769230771</v>
      </c>
      <c r="D889" s="9">
        <v>115</v>
      </c>
      <c r="E889" s="10">
        <v>0.33527696793002915</v>
      </c>
    </row>
    <row r="890" spans="1:5" ht="15" x14ac:dyDescent="0.3">
      <c r="A890" s="1" t="s">
        <v>220</v>
      </c>
      <c r="B890" s="7">
        <v>1</v>
      </c>
      <c r="C890" s="8">
        <v>2.6525198938992041E-3</v>
      </c>
      <c r="D890" s="9">
        <v>0</v>
      </c>
      <c r="E890" s="10">
        <v>0</v>
      </c>
    </row>
    <row r="891" spans="1:5" ht="15" x14ac:dyDescent="0.3">
      <c r="A891" s="1" t="s">
        <v>221</v>
      </c>
      <c r="B891" s="7">
        <v>0</v>
      </c>
      <c r="C891" s="8">
        <v>0</v>
      </c>
      <c r="D891" s="9">
        <v>1</v>
      </c>
      <c r="E891" s="10">
        <v>2.9154518950437317E-3</v>
      </c>
    </row>
    <row r="892" spans="1:5" ht="15" x14ac:dyDescent="0.3">
      <c r="A892" s="1" t="s">
        <v>222</v>
      </c>
      <c r="B892" s="7">
        <v>1</v>
      </c>
      <c r="C892" s="8">
        <v>2.6525198938992041E-3</v>
      </c>
      <c r="D892" s="9">
        <v>0</v>
      </c>
      <c r="E892" s="10">
        <v>0</v>
      </c>
    </row>
    <row r="893" spans="1:5" ht="15" x14ac:dyDescent="0.3">
      <c r="A893" s="1" t="s">
        <v>223</v>
      </c>
      <c r="B893" s="7">
        <v>1</v>
      </c>
      <c r="C893" s="8">
        <v>2.6525198938992041E-3</v>
      </c>
      <c r="D893" s="9">
        <v>1</v>
      </c>
      <c r="E893" s="10">
        <v>2.9154518950437317E-3</v>
      </c>
    </row>
    <row r="894" spans="1:5" ht="15" x14ac:dyDescent="0.3">
      <c r="A894" s="1" t="s">
        <v>224</v>
      </c>
      <c r="B894" s="7">
        <v>1</v>
      </c>
      <c r="C894" s="8">
        <v>2.6525198938992041E-3</v>
      </c>
      <c r="D894" s="9">
        <v>1</v>
      </c>
      <c r="E894" s="10">
        <v>2.9154518950437317E-3</v>
      </c>
    </row>
    <row r="895" spans="1:5" ht="15" x14ac:dyDescent="0.3">
      <c r="A895" s="1" t="s">
        <v>225</v>
      </c>
      <c r="B895" s="7">
        <v>1</v>
      </c>
      <c r="C895" s="8">
        <v>2.6525198938992041E-3</v>
      </c>
      <c r="D895" s="9">
        <v>1</v>
      </c>
      <c r="E895" s="10">
        <v>2.9154518950437317E-3</v>
      </c>
    </row>
    <row r="896" spans="1:5" ht="15" x14ac:dyDescent="0.3">
      <c r="A896" s="1" t="s">
        <v>226</v>
      </c>
      <c r="B896" s="7">
        <v>4</v>
      </c>
      <c r="C896" s="8">
        <v>1.0610079575596816E-2</v>
      </c>
      <c r="D896" s="9">
        <v>6</v>
      </c>
      <c r="E896" s="10">
        <v>1.7492711370262391E-2</v>
      </c>
    </row>
    <row r="897" spans="1:5" ht="15" x14ac:dyDescent="0.3">
      <c r="A897" s="1" t="s">
        <v>227</v>
      </c>
      <c r="B897" s="7">
        <v>3</v>
      </c>
      <c r="C897" s="8">
        <v>7.9575596816976128E-3</v>
      </c>
      <c r="D897" s="9">
        <v>1</v>
      </c>
      <c r="E897" s="10">
        <v>2.9154518950437317E-3</v>
      </c>
    </row>
    <row r="898" spans="1:5" ht="15" x14ac:dyDescent="0.3">
      <c r="A898" s="1" t="s">
        <v>228</v>
      </c>
      <c r="B898" s="7">
        <v>3</v>
      </c>
      <c r="C898" s="8">
        <v>7.9575596816976128E-3</v>
      </c>
      <c r="D898" s="9">
        <v>2</v>
      </c>
      <c r="E898" s="10">
        <v>5.8309037900874635E-3</v>
      </c>
    </row>
    <row r="899" spans="1:5" ht="15" x14ac:dyDescent="0.3">
      <c r="A899" s="1" t="s">
        <v>229</v>
      </c>
      <c r="B899" s="7">
        <v>2</v>
      </c>
      <c r="C899" s="8">
        <v>5.3050397877984082E-3</v>
      </c>
      <c r="D899" s="9">
        <v>1</v>
      </c>
      <c r="E899" s="10">
        <v>2.9154518950437317E-3</v>
      </c>
    </row>
    <row r="900" spans="1:5" ht="15" x14ac:dyDescent="0.3">
      <c r="A900" s="1" t="s">
        <v>230</v>
      </c>
      <c r="B900" s="7">
        <v>1</v>
      </c>
      <c r="C900" s="8">
        <v>2.6525198938992041E-3</v>
      </c>
      <c r="D900" s="9">
        <v>1</v>
      </c>
      <c r="E900" s="10">
        <v>2.9154518950437317E-3</v>
      </c>
    </row>
    <row r="901" spans="1:5" ht="15" x14ac:dyDescent="0.3">
      <c r="A901" s="1" t="s">
        <v>231</v>
      </c>
      <c r="B901" s="7">
        <v>0</v>
      </c>
      <c r="C901" s="8">
        <v>0</v>
      </c>
      <c r="D901" s="9">
        <v>1</v>
      </c>
      <c r="E901" s="10">
        <v>2.9154518950437317E-3</v>
      </c>
    </row>
    <row r="902" spans="1:5" ht="15" x14ac:dyDescent="0.3">
      <c r="A902" s="1" t="s">
        <v>232</v>
      </c>
      <c r="B902" s="7">
        <v>4</v>
      </c>
      <c r="C902" s="8">
        <v>1.0610079575596816E-2</v>
      </c>
      <c r="D902" s="9">
        <v>5</v>
      </c>
      <c r="E902" s="10">
        <v>1.4577259475218658E-2</v>
      </c>
    </row>
    <row r="903" spans="1:5" ht="15" x14ac:dyDescent="0.3">
      <c r="A903" s="1" t="s">
        <v>233</v>
      </c>
      <c r="B903" s="7">
        <v>6</v>
      </c>
      <c r="C903" s="8">
        <v>1.5915119363395226E-2</v>
      </c>
      <c r="D903" s="9">
        <v>5</v>
      </c>
      <c r="E903" s="10">
        <v>1.4577259475218658E-2</v>
      </c>
    </row>
    <row r="904" spans="1:5" ht="15" x14ac:dyDescent="0.3">
      <c r="A904" s="1" t="s">
        <v>234</v>
      </c>
      <c r="B904" s="7">
        <v>1</v>
      </c>
      <c r="C904" s="8">
        <v>2.6525198938992041E-3</v>
      </c>
      <c r="D904" s="9">
        <v>1</v>
      </c>
      <c r="E904" s="10">
        <v>2.9154518950437317E-3</v>
      </c>
    </row>
    <row r="905" spans="1:5" ht="15" x14ac:dyDescent="0.3">
      <c r="A905" s="1" t="s">
        <v>235</v>
      </c>
      <c r="B905" s="7">
        <v>1</v>
      </c>
      <c r="C905" s="8">
        <v>2.6525198938992041E-3</v>
      </c>
      <c r="D905" s="9">
        <v>1</v>
      </c>
      <c r="E905" s="10">
        <v>2.9154518950437317E-3</v>
      </c>
    </row>
    <row r="906" spans="1:5" ht="15" x14ac:dyDescent="0.3">
      <c r="A906" s="1" t="s">
        <v>236</v>
      </c>
      <c r="B906" s="7">
        <v>3</v>
      </c>
      <c r="C906" s="8">
        <v>7.9575596816976128E-3</v>
      </c>
      <c r="D906" s="9">
        <v>1</v>
      </c>
      <c r="E906" s="10">
        <v>2.9154518950437317E-3</v>
      </c>
    </row>
    <row r="907" spans="1:5" ht="15" x14ac:dyDescent="0.3">
      <c r="A907" s="1" t="s">
        <v>237</v>
      </c>
      <c r="B907" s="7">
        <v>0</v>
      </c>
      <c r="C907" s="8">
        <v>0</v>
      </c>
      <c r="D907" s="9">
        <v>1</v>
      </c>
      <c r="E907" s="10">
        <v>2.9154518950437317E-3</v>
      </c>
    </row>
    <row r="908" spans="1:5" ht="15" x14ac:dyDescent="0.3">
      <c r="A908" s="1" t="s">
        <v>238</v>
      </c>
      <c r="B908" s="7">
        <v>1</v>
      </c>
      <c r="C908" s="8">
        <v>2.6525198938992041E-3</v>
      </c>
      <c r="D908" s="9">
        <v>0</v>
      </c>
      <c r="E908" s="10">
        <v>0</v>
      </c>
    </row>
    <row r="909" spans="1:5" ht="15" x14ac:dyDescent="0.3">
      <c r="A909" s="1" t="s">
        <v>239</v>
      </c>
      <c r="B909" s="7">
        <v>26</v>
      </c>
      <c r="C909" s="8">
        <v>6.8965517241379309E-2</v>
      </c>
      <c r="D909" s="9">
        <v>40</v>
      </c>
      <c r="E909" s="10">
        <v>0.11661807580174927</v>
      </c>
    </row>
    <row r="910" spans="1:5" ht="15" x14ac:dyDescent="0.3">
      <c r="A910" s="1" t="s">
        <v>240</v>
      </c>
      <c r="B910" s="7">
        <v>1</v>
      </c>
      <c r="C910" s="8">
        <v>2.6525198938992041E-3</v>
      </c>
      <c r="D910" s="9">
        <v>1</v>
      </c>
      <c r="E910" s="10">
        <v>2.9154518950437317E-3</v>
      </c>
    </row>
    <row r="911" spans="1:5" ht="15" x14ac:dyDescent="0.3">
      <c r="A911" s="1" t="s">
        <v>241</v>
      </c>
      <c r="B911" s="7">
        <v>0</v>
      </c>
      <c r="C911" s="8">
        <v>0</v>
      </c>
      <c r="D911" s="9">
        <v>1</v>
      </c>
      <c r="E911" s="10">
        <v>2.9154518950437317E-3</v>
      </c>
    </row>
    <row r="912" spans="1:5" ht="15" x14ac:dyDescent="0.3">
      <c r="A912" s="1" t="s">
        <v>242</v>
      </c>
      <c r="B912" s="7">
        <v>9</v>
      </c>
      <c r="C912" s="8">
        <v>2.3872679045092837E-2</v>
      </c>
      <c r="D912" s="9">
        <v>4</v>
      </c>
      <c r="E912" s="10">
        <v>1.1661807580174927E-2</v>
      </c>
    </row>
    <row r="913" spans="1:5" ht="15" x14ac:dyDescent="0.3">
      <c r="A913" s="1" t="s">
        <v>243</v>
      </c>
      <c r="B913" s="7">
        <v>0</v>
      </c>
      <c r="C913" s="8">
        <v>0</v>
      </c>
      <c r="D913" s="9">
        <v>1</v>
      </c>
      <c r="E913" s="10">
        <v>2.9154518950437317E-3</v>
      </c>
    </row>
    <row r="914" spans="1:5" ht="15" x14ac:dyDescent="0.3">
      <c r="A914" s="1" t="s">
        <v>244</v>
      </c>
      <c r="B914" s="7">
        <v>1</v>
      </c>
      <c r="C914" s="8">
        <v>2.6525198938992041E-3</v>
      </c>
      <c r="D914" s="9">
        <v>0</v>
      </c>
      <c r="E914" s="10">
        <v>0</v>
      </c>
    </row>
    <row r="915" spans="1:5" ht="15" x14ac:dyDescent="0.3">
      <c r="A915" s="1" t="s">
        <v>245</v>
      </c>
      <c r="B915" s="7">
        <v>15</v>
      </c>
      <c r="C915" s="8">
        <v>3.9787798408488062E-2</v>
      </c>
      <c r="D915" s="9">
        <v>17</v>
      </c>
      <c r="E915" s="10">
        <v>4.9562682215743441E-2</v>
      </c>
    </row>
    <row r="916" spans="1:5" ht="15" x14ac:dyDescent="0.3">
      <c r="A916" s="1" t="s">
        <v>246</v>
      </c>
      <c r="B916" s="7">
        <v>9</v>
      </c>
      <c r="C916" s="8">
        <v>2.3872679045092837E-2</v>
      </c>
      <c r="D916" s="9">
        <v>4</v>
      </c>
      <c r="E916" s="10">
        <v>1.1661807580174927E-2</v>
      </c>
    </row>
    <row r="917" spans="1:5" ht="15" x14ac:dyDescent="0.3">
      <c r="A917" s="1" t="s">
        <v>247</v>
      </c>
      <c r="B917" s="7">
        <v>1</v>
      </c>
      <c r="C917" s="8">
        <v>2.6525198938992041E-3</v>
      </c>
      <c r="D917" s="9">
        <v>3</v>
      </c>
      <c r="E917" s="10">
        <v>8.7463556851311956E-3</v>
      </c>
    </row>
    <row r="918" spans="1:5" ht="15" x14ac:dyDescent="0.3">
      <c r="A918" s="1" t="s">
        <v>248</v>
      </c>
      <c r="B918" s="7">
        <v>46</v>
      </c>
      <c r="C918" s="8">
        <v>0.1220159151193634</v>
      </c>
      <c r="D918" s="9">
        <v>35</v>
      </c>
      <c r="E918" s="10">
        <v>0.10204081632653061</v>
      </c>
    </row>
    <row r="919" spans="1:5" ht="15" x14ac:dyDescent="0.3">
      <c r="A919" s="1" t="s">
        <v>249</v>
      </c>
      <c r="B919" s="7">
        <v>51</v>
      </c>
      <c r="C919" s="8">
        <v>0.13527851458885942</v>
      </c>
      <c r="D919" s="9">
        <v>38</v>
      </c>
      <c r="E919" s="10">
        <v>0.11078717201166181</v>
      </c>
    </row>
    <row r="920" spans="1:5" ht="15" x14ac:dyDescent="0.3">
      <c r="A920" s="1" t="s">
        <v>250</v>
      </c>
      <c r="B920" s="7">
        <v>1</v>
      </c>
      <c r="C920" s="8">
        <v>2.6525198938992041E-3</v>
      </c>
      <c r="D920" s="9">
        <v>0</v>
      </c>
      <c r="E920" s="10">
        <v>0</v>
      </c>
    </row>
    <row r="921" spans="1:5" ht="15" x14ac:dyDescent="0.3">
      <c r="A921" s="1" t="s">
        <v>251</v>
      </c>
      <c r="B921" s="7">
        <v>3</v>
      </c>
      <c r="C921" s="8">
        <v>7.9575596816976128E-3</v>
      </c>
      <c r="D921" s="9">
        <v>3</v>
      </c>
      <c r="E921" s="10">
        <v>8.7463556851311956E-3</v>
      </c>
    </row>
    <row r="922" spans="1:5" ht="15" x14ac:dyDescent="0.3">
      <c r="A922" s="1" t="s">
        <v>252</v>
      </c>
      <c r="B922" s="7">
        <v>2</v>
      </c>
      <c r="C922" s="8">
        <v>5.3050397877984082E-3</v>
      </c>
      <c r="D922" s="9">
        <v>5</v>
      </c>
      <c r="E922" s="10">
        <v>1.4577259475218658E-2</v>
      </c>
    </row>
    <row r="923" spans="1:5" ht="15" x14ac:dyDescent="0.3">
      <c r="A923" s="1" t="s">
        <v>253</v>
      </c>
      <c r="B923" s="7">
        <v>2</v>
      </c>
      <c r="C923" s="8">
        <v>5.3050397877984082E-3</v>
      </c>
      <c r="D923" s="9">
        <v>0</v>
      </c>
      <c r="E923" s="10">
        <v>0</v>
      </c>
    </row>
    <row r="924" spans="1:5" ht="15" x14ac:dyDescent="0.3">
      <c r="A924" s="1" t="s">
        <v>254</v>
      </c>
      <c r="B924" s="7">
        <v>0</v>
      </c>
      <c r="C924" s="8">
        <v>0</v>
      </c>
      <c r="D924" s="9">
        <v>1</v>
      </c>
      <c r="E924" s="10">
        <v>2.9154518950437317E-3</v>
      </c>
    </row>
    <row r="925" spans="1:5" ht="15" x14ac:dyDescent="0.3">
      <c r="A925" s="1" t="s">
        <v>255</v>
      </c>
      <c r="B925" s="7">
        <v>2</v>
      </c>
      <c r="C925" s="8">
        <v>5.3050397877984082E-3</v>
      </c>
      <c r="D925" s="9">
        <v>2</v>
      </c>
      <c r="E925" s="10">
        <v>5.8309037900874635E-3</v>
      </c>
    </row>
    <row r="926" spans="1:5" ht="15" x14ac:dyDescent="0.3">
      <c r="A926" s="1" t="s">
        <v>256</v>
      </c>
      <c r="B926" s="7">
        <v>9</v>
      </c>
      <c r="C926" s="8">
        <v>2.3872679045092837E-2</v>
      </c>
      <c r="D926" s="9">
        <v>7</v>
      </c>
      <c r="E926" s="10">
        <v>2.0408163265306124E-2</v>
      </c>
    </row>
    <row r="927" spans="1:5" ht="15" x14ac:dyDescent="0.3">
      <c r="A927" s="1" t="s">
        <v>257</v>
      </c>
      <c r="B927" s="7">
        <v>15</v>
      </c>
      <c r="C927" s="8">
        <v>3.9787798408488062E-2</v>
      </c>
      <c r="D927" s="9">
        <v>11</v>
      </c>
      <c r="E927" s="10">
        <v>3.2069970845481049E-2</v>
      </c>
    </row>
    <row r="928" spans="1:5" ht="15" x14ac:dyDescent="0.3">
      <c r="A928" s="1" t="s">
        <v>258</v>
      </c>
      <c r="B928" s="7">
        <v>0</v>
      </c>
      <c r="C928" s="8">
        <v>0</v>
      </c>
      <c r="D928" s="9">
        <v>1</v>
      </c>
      <c r="E928" s="10">
        <v>2.9154518950437317E-3</v>
      </c>
    </row>
    <row r="929" spans="1:5" ht="15" x14ac:dyDescent="0.3">
      <c r="A929" s="1" t="s">
        <v>259</v>
      </c>
      <c r="B929" s="7">
        <v>0</v>
      </c>
      <c r="C929" s="8">
        <v>0</v>
      </c>
      <c r="D929" s="9">
        <v>1</v>
      </c>
      <c r="E929" s="10">
        <v>2.9154518950437317E-3</v>
      </c>
    </row>
    <row r="930" spans="1:5" ht="15" x14ac:dyDescent="0.3">
      <c r="A930" s="1" t="s">
        <v>260</v>
      </c>
      <c r="B930" s="7">
        <v>1</v>
      </c>
      <c r="C930" s="8">
        <v>2.6525198938992041E-3</v>
      </c>
      <c r="D930" s="9">
        <v>2</v>
      </c>
      <c r="E930" s="10">
        <v>5.8309037900874635E-3</v>
      </c>
    </row>
    <row r="931" spans="1:5" ht="15" x14ac:dyDescent="0.3">
      <c r="A931" s="1" t="s">
        <v>261</v>
      </c>
      <c r="B931" s="7">
        <v>1</v>
      </c>
      <c r="C931" s="8">
        <v>2.6525198938992041E-3</v>
      </c>
      <c r="D931" s="9">
        <v>3</v>
      </c>
      <c r="E931" s="10">
        <v>8.7463556851311956E-3</v>
      </c>
    </row>
    <row r="932" spans="1:5" ht="15" x14ac:dyDescent="0.3">
      <c r="A932" s="1" t="s">
        <v>262</v>
      </c>
      <c r="B932" s="7">
        <v>2</v>
      </c>
      <c r="C932" s="8">
        <v>5.3050397877984082E-3</v>
      </c>
      <c r="D932" s="9">
        <v>5</v>
      </c>
      <c r="E932" s="10">
        <v>1.4577259475218658E-2</v>
      </c>
    </row>
    <row r="933" spans="1:5" ht="15" x14ac:dyDescent="0.3">
      <c r="A933" s="1" t="s">
        <v>263</v>
      </c>
      <c r="B933" s="7">
        <v>16</v>
      </c>
      <c r="C933" s="8">
        <v>4.2440318302387266E-2</v>
      </c>
      <c r="D933" s="9">
        <v>9</v>
      </c>
      <c r="E933" s="10">
        <v>2.6239067055393587E-2</v>
      </c>
    </row>
    <row r="934" spans="1:5" ht="15" x14ac:dyDescent="0.3">
      <c r="A934" s="1" t="s">
        <v>264</v>
      </c>
      <c r="B934" s="7">
        <v>1</v>
      </c>
      <c r="C934" s="8">
        <v>2.6525198938992041E-3</v>
      </c>
      <c r="D934" s="9">
        <v>1</v>
      </c>
      <c r="E934" s="10">
        <v>2.9154518950437317E-3</v>
      </c>
    </row>
    <row r="935" spans="1:5" ht="15" x14ac:dyDescent="0.3">
      <c r="A935" s="1" t="s">
        <v>265</v>
      </c>
      <c r="B935" s="7">
        <v>3</v>
      </c>
      <c r="C935" s="8">
        <v>7.9575596816976128E-3</v>
      </c>
      <c r="D935" s="9">
        <v>1</v>
      </c>
      <c r="E935" s="10">
        <v>2.9154518950437317E-3</v>
      </c>
    </row>
    <row r="936" spans="1:5" ht="15" x14ac:dyDescent="0.3">
      <c r="A936" s="1" t="s">
        <v>266</v>
      </c>
      <c r="B936" s="7">
        <v>2</v>
      </c>
      <c r="C936" s="8">
        <v>5.3050397877984082E-3</v>
      </c>
      <c r="D936" s="9">
        <v>1</v>
      </c>
      <c r="E936" s="10">
        <v>2.9154518950437317E-3</v>
      </c>
    </row>
    <row r="937" spans="1:5" ht="15" x14ac:dyDescent="0.3">
      <c r="A937" s="1" t="s">
        <v>267</v>
      </c>
      <c r="B937" s="7">
        <v>3</v>
      </c>
      <c r="C937" s="8">
        <v>7.9575596816976128E-3</v>
      </c>
      <c r="D937" s="9">
        <v>0</v>
      </c>
      <c r="E937" s="10">
        <v>0</v>
      </c>
    </row>
    <row r="938" spans="1:5" ht="15" x14ac:dyDescent="0.3">
      <c r="A938" s="1" t="s">
        <v>268</v>
      </c>
      <c r="B938" s="7">
        <v>1</v>
      </c>
      <c r="C938" s="8">
        <v>2.6525198938992041E-3</v>
      </c>
      <c r="D938" s="9">
        <v>0</v>
      </c>
      <c r="E938" s="10">
        <v>0</v>
      </c>
    </row>
    <row r="939" spans="1:5" ht="15" x14ac:dyDescent="0.3">
      <c r="A939" s="1" t="s">
        <v>269</v>
      </c>
      <c r="B939" s="7">
        <v>1</v>
      </c>
      <c r="C939" s="8">
        <v>2.6525198938992041E-3</v>
      </c>
      <c r="D939" s="9">
        <v>0</v>
      </c>
      <c r="E939" s="10">
        <v>0</v>
      </c>
    </row>
    <row r="940" spans="1:5" ht="15" x14ac:dyDescent="0.3">
      <c r="A940" s="1" t="s">
        <v>270</v>
      </c>
      <c r="B940" s="7">
        <v>1</v>
      </c>
      <c r="C940" s="8">
        <v>2.6525198938992041E-3</v>
      </c>
      <c r="D940" s="9">
        <v>0</v>
      </c>
      <c r="E940" s="10">
        <v>0</v>
      </c>
    </row>
    <row r="941" spans="1:5" ht="15" x14ac:dyDescent="0.3">
      <c r="A941" s="1" t="s">
        <v>271</v>
      </c>
      <c r="B941" s="7">
        <v>0</v>
      </c>
      <c r="C941" s="8">
        <v>0</v>
      </c>
      <c r="D941" s="9">
        <v>1</v>
      </c>
      <c r="E941" s="10">
        <v>2.9154518950437317E-3</v>
      </c>
    </row>
    <row r="942" spans="1:5" ht="15" x14ac:dyDescent="0.3">
      <c r="A942" s="1" t="s">
        <v>272</v>
      </c>
      <c r="B942" s="7">
        <v>1</v>
      </c>
      <c r="C942" s="8">
        <v>2.6525198938992041E-3</v>
      </c>
      <c r="D942" s="9">
        <v>0</v>
      </c>
      <c r="E942" s="10">
        <v>0</v>
      </c>
    </row>
    <row r="943" spans="1:5" ht="15" x14ac:dyDescent="0.3">
      <c r="A943" s="21" t="s">
        <v>273</v>
      </c>
      <c r="B943" s="22">
        <v>1</v>
      </c>
      <c r="C943" s="23">
        <v>2.6525198938992041E-3</v>
      </c>
      <c r="D943" s="24">
        <v>0</v>
      </c>
      <c r="E943" s="25">
        <v>0</v>
      </c>
    </row>
    <row r="944" spans="1:5" ht="15.6" x14ac:dyDescent="0.3">
      <c r="A944" s="31" t="s">
        <v>4</v>
      </c>
      <c r="B944" s="35">
        <f>SUBTOTAL(109,Table94[Pre Count])</f>
        <v>377</v>
      </c>
      <c r="C944" s="36">
        <f>SUBTOTAL(109,Table94[Pre Count %])</f>
        <v>1.0000000000000002</v>
      </c>
      <c r="D944" s="37">
        <f>SUBTOTAL(109,Table94[Post Count])</f>
        <v>343</v>
      </c>
      <c r="E944" s="34">
        <f>SUBTOTAL(109,Table94[Post Count %])</f>
        <v>0.99999999999999944</v>
      </c>
    </row>
  </sheetData>
  <mergeCells count="86">
    <mergeCell ref="A887:E887"/>
    <mergeCell ref="A809:E809"/>
    <mergeCell ref="A821:E821"/>
    <mergeCell ref="A832:E832"/>
    <mergeCell ref="A839:E839"/>
    <mergeCell ref="A879:E879"/>
    <mergeCell ref="A666:E666"/>
    <mergeCell ref="A696:E696"/>
    <mergeCell ref="A728:E728"/>
    <mergeCell ref="A748:E748"/>
    <mergeCell ref="A786:E786"/>
    <mergeCell ref="A612:E612"/>
    <mergeCell ref="A621:E621"/>
    <mergeCell ref="A630:E630"/>
    <mergeCell ref="A642:E642"/>
    <mergeCell ref="A658:E658"/>
    <mergeCell ref="A567:E567"/>
    <mergeCell ref="A576:E576"/>
    <mergeCell ref="A585:E585"/>
    <mergeCell ref="A594:E594"/>
    <mergeCell ref="A603:E603"/>
    <mergeCell ref="A516:E516"/>
    <mergeCell ref="A525:E525"/>
    <mergeCell ref="A534:E534"/>
    <mergeCell ref="A543:E543"/>
    <mergeCell ref="A558:E558"/>
    <mergeCell ref="A471:E471"/>
    <mergeCell ref="A480:E480"/>
    <mergeCell ref="A489:E489"/>
    <mergeCell ref="A498:E498"/>
    <mergeCell ref="A507:E507"/>
    <mergeCell ref="A427:E427"/>
    <mergeCell ref="A436:E436"/>
    <mergeCell ref="A445:E445"/>
    <mergeCell ref="A453:E453"/>
    <mergeCell ref="A462:E462"/>
    <mergeCell ref="A381:E381"/>
    <mergeCell ref="A391:E391"/>
    <mergeCell ref="A400:E400"/>
    <mergeCell ref="A409:E409"/>
    <mergeCell ref="A418:E418"/>
    <mergeCell ref="A336:E336"/>
    <mergeCell ref="A345:E345"/>
    <mergeCell ref="A354:E354"/>
    <mergeCell ref="A363:E363"/>
    <mergeCell ref="A372:E372"/>
    <mergeCell ref="A291:E291"/>
    <mergeCell ref="A300:E300"/>
    <mergeCell ref="A309:E309"/>
    <mergeCell ref="A318:E318"/>
    <mergeCell ref="A327:E327"/>
    <mergeCell ref="A246:E246"/>
    <mergeCell ref="A255:E255"/>
    <mergeCell ref="A264:E264"/>
    <mergeCell ref="A273:E273"/>
    <mergeCell ref="A282:E282"/>
    <mergeCell ref="A201:E201"/>
    <mergeCell ref="A210:E210"/>
    <mergeCell ref="A219:E219"/>
    <mergeCell ref="A228:E228"/>
    <mergeCell ref="A237:E237"/>
    <mergeCell ref="A156:E156"/>
    <mergeCell ref="A165:E165"/>
    <mergeCell ref="A174:E174"/>
    <mergeCell ref="A183:E183"/>
    <mergeCell ref="A192:E192"/>
    <mergeCell ref="A111:E111"/>
    <mergeCell ref="A120:E120"/>
    <mergeCell ref="A129:E129"/>
    <mergeCell ref="A138:E138"/>
    <mergeCell ref="A147:E147"/>
    <mergeCell ref="A71:E71"/>
    <mergeCell ref="A78:E78"/>
    <mergeCell ref="A85:E85"/>
    <mergeCell ref="A93:E93"/>
    <mergeCell ref="A102:E102"/>
    <mergeCell ref="A36:E36"/>
    <mergeCell ref="A43:E43"/>
    <mergeCell ref="A50:E50"/>
    <mergeCell ref="A57:E57"/>
    <mergeCell ref="A64:E64"/>
    <mergeCell ref="A8:E8"/>
    <mergeCell ref="A15:E15"/>
    <mergeCell ref="A22:E22"/>
    <mergeCell ref="A29:E29"/>
    <mergeCell ref="A1:E1"/>
  </mergeCells>
  <pageMargins left="0.7" right="0.7" top="0.75" bottom="0.75" header="0.3" footer="0.3"/>
  <tableParts count="87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metadata xmlns="http://www.objective.com/ecm/document/metadata/A8F43476EB784464BFCC994945052FE7" version="1.0.0">
  <systemFields>
    <field name="Objective-Id">
      <value order="0">A4598452</value>
    </field>
    <field name="Objective-Title">
      <value order="0">Master_Sheet_Sector_Report - Appendix</value>
    </field>
    <field name="Objective-Description">
      <value order="0"/>
    </field>
    <field name="Objective-CreationStamp">
      <value order="0">2020-04-01T23:00:23Z</value>
    </field>
    <field name="Objective-IsApproved">
      <value order="0">false</value>
    </field>
    <field name="Objective-IsPublished">
      <value order="0">true</value>
    </field>
    <field name="Objective-DatePublished">
      <value order="0">2020-04-01T23:01:17Z</value>
    </field>
    <field name="Objective-ModificationStamp">
      <value order="0">2020-04-01T23:01:17Z</value>
    </field>
    <field name="Objective-Owner">
      <value order="0">Stephanie Longo</value>
    </field>
    <field name="Objective-Path">
      <value order="0">Objective Global Folder:1. Public Service Commission (PSC):1. Public Service Commission File Plan (PSC):WORKFORCE DIVERSITY AND EQUITY:FLEXIBLE WORKING:Flexible Working - Framework:Flexible Working - Framework - Phase two - Team based design:003. Whole of sector report</value>
    </field>
    <field name="Objective-Parent">
      <value order="0">003. Whole of sector report</value>
    </field>
    <field name="Objective-State">
      <value order="0">Published</value>
    </field>
    <field name="Objective-VersionId">
      <value order="0">vA8095194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>qA430037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3">
      <field name="Objective-Vital Record">
        <value order="0">No</value>
      </field>
      <field name="Objective-DLM">
        <value order="0">No Impact</value>
      </field>
      <field name="Objective-Security Classification">
        <value order="0">UNCLASSIFIED</value>
      </field>
      <field name="Objective-Approval History">
        <value order="0"/>
      </field>
      <field name="Objective-Approval Status">
        <value order="0"/>
      </field>
      <field name="Objective-Connect Creator">
        <value order="0"/>
      </field>
      <field name="Objective-Document Tag(s)">
        <value order="0"/>
      </field>
      <field name="Objective-Shared By">
        <value order="0"/>
      </field>
      <field name="Objective-Current Approver">
        <value order="0"/>
      </field>
    </catalogue>
  </catalogues>
</metadata>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U V + P U C s 3 B X C o A A A A + A A A A B I A H A B D b 2 5 m a W c v U G F j a 2 F n Z S 5 4 b W w g o h g A K K A U A A A A A A A A A A A A A A A A A A A A A A A A A A A A h Y 9 N D o I w G E S v Q r q n L f U H J B 9 l 4 V Y S E 6 J x S 2 q F R i i G F s v d X H g k r y C J o u 5 c z u R N 8 u Z x u 0 M 6 N L V 3 l Z 1 R r U 5 Q g C n y p B b t U e k y Q b 0 9 + R F K O W w L c S 5 K 6 Y 2 w N v F g V I I q a y 8 x I c 4 5 7 G a 4 7 U r C K A 3 I I d v k o p J N 4 S t t b K G F R J / V 8 f 8 K c d i / Z D j D 4 Q o v w m W E 2 T w A M t W Q K f 1 F 2 G i M K Z C f E t Z 9 b f t O c q n 9 X Q 5 k i k D e L / g T U E s D B B Q A A g A I A F F f j 1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X 4 9 Q K I p H u A 4 A A A A R A A A A E w A c A E Z v c m 1 1 b G F z L 1 N l Y 3 R p b 2 4 x L m 0 g o h g A K K A U A A A A A A A A A A A A A A A A A A A A A A A A A A A A K 0 5 N L s n M z 1 M I h t C G 1 g B Q S w E C L Q A U A A I A C A B R X 4 9 Q K z c F c K g A A A D 4 A A A A E g A A A A A A A A A A A A A A A A A A A A A A Q 2 9 u Z m l n L 1 B h Y 2 t h Z 2 U u e G 1 s U E s B A i 0 A F A A C A A g A U V + P U A / K 6 a u k A A A A 6 Q A A A B M A A A A A A A A A A A A A A A A A 9 A A A A F t D b 2 5 0 Z W 5 0 X 1 R 5 c G V z X S 5 4 b W x Q S w E C L Q A U A A I A C A B R X 4 9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4 L Y n q 1 J k / U C L F B y J 1 0 H t I g A A A A A C A A A A A A A Q Z g A A A A E A A C A A A A D + 0 q y g p d 6 l L + 9 s H L M 1 N h m z A C 9 t U T 9 5 n e n F R 4 Q 9 0 + l 5 Q A A A A A A O g A A A A A I A A C A A A A B 0 Y u w 6 U d j G W W Q 7 W g H V + K m f x R t j 0 4 Q G D N a 7 I B i / e v 9 j 8 F A A A A A U F y + t N Q r 1 X M x W + i s U + X r / n I R O 7 s k k n I B R x K 4 e / G I 5 R V X e z S p / q Q z g 5 M D B v i n 5 S N F u t E r z C h s q d c l O R h k b q + f x 9 m h X Q l G n v P y H i h l X M w B 0 f U A A A A D S W d h e e 2 P g / M 9 N a w q E D + 3 N t G D D 8 a K 8 R 8 5 / u q d K l x p o f 3 W 3 S m g W V s K l j r G H K t Y 5 7 B J L S g 4 y U K q m o Q b 9 n X o a m I P Q < / D a t a M a s h u p > 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8F43476EB784464BFCC994945052FE7"/>
  </ds:schemaRefs>
</ds:datastoreItem>
</file>

<file path=customXml/itemProps2.xml><?xml version="1.0" encoding="utf-8"?>
<ds:datastoreItem xmlns:ds="http://schemas.openxmlformats.org/officeDocument/2006/customXml" ds:itemID="{549AED1A-77DD-43CC-AA79-AE48A955D4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Christos.Petrou</cp:lastModifiedBy>
  <dcterms:created xsi:type="dcterms:W3CDTF">2011-08-01T14:22:18Z</dcterms:created>
  <dcterms:modified xsi:type="dcterms:W3CDTF">2020-04-15T02:04:16Z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A4598452</vt:lpwstr>
  </property>
  <property fmtid="{D5CDD505-2E9C-101B-9397-08002B2CF9AE}" pid="4" name="Objective-Title">
    <vt:lpwstr>Master_Sheet_Sector_Report - Appendix</vt:lpwstr>
  </property>
  <property fmtid="{D5CDD505-2E9C-101B-9397-08002B2CF9AE}" pid="5" name="Objective-Description">
    <vt:lpwstr/>
  </property>
  <property fmtid="{D5CDD505-2E9C-101B-9397-08002B2CF9AE}" pid="6" name="Objective-CreationStamp">
    <vt:filetime>2020-04-01T23:00:31Z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2020-04-01T23:01:17Z</vt:filetime>
  </property>
  <property fmtid="{D5CDD505-2E9C-101B-9397-08002B2CF9AE}" pid="10" name="Objective-ModificationStamp">
    <vt:filetime>2020-04-01T23:01:17Z</vt:filetime>
  </property>
  <property fmtid="{D5CDD505-2E9C-101B-9397-08002B2CF9AE}" pid="11" name="Objective-Owner">
    <vt:lpwstr>Stephanie Longo</vt:lpwstr>
  </property>
  <property fmtid="{D5CDD505-2E9C-101B-9397-08002B2CF9AE}" pid="12" name="Objective-Path">
    <vt:lpwstr>Objective Global Folder:1. Public Service Commission (PSC):1. Public Service Commission File Plan (PSC):WORKFORCE DIVERSITY AND EQUITY:FLEXIBLE WORKING:Flexible Working - Framework:Flexible Working - Framework - Phase two - Team based design:003. Whole of</vt:lpwstr>
  </property>
  <property fmtid="{D5CDD505-2E9C-101B-9397-08002B2CF9AE}" pid="13" name="Objective-Parent">
    <vt:lpwstr>003. Whole of sector report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vA8095194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>PSC08858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Vital Record">
    <vt:lpwstr>No</vt:lpwstr>
  </property>
  <property fmtid="{D5CDD505-2E9C-101B-9397-08002B2CF9AE}" pid="23" name="Objective-DLM">
    <vt:lpwstr>No Impact</vt:lpwstr>
  </property>
  <property fmtid="{D5CDD505-2E9C-101B-9397-08002B2CF9AE}" pid="24" name="Objective-Security Classification">
    <vt:lpwstr>UNCLASSIFIED</vt:lpwstr>
  </property>
  <property fmtid="{D5CDD505-2E9C-101B-9397-08002B2CF9AE}" pid="25" name="Objective-Approval History">
    <vt:lpwstr/>
  </property>
  <property fmtid="{D5CDD505-2E9C-101B-9397-08002B2CF9AE}" pid="26" name="Objective-Approval Status">
    <vt:lpwstr/>
  </property>
  <property fmtid="{D5CDD505-2E9C-101B-9397-08002B2CF9AE}" pid="27" name="Objective-Connect Creator">
    <vt:lpwstr/>
  </property>
  <property fmtid="{D5CDD505-2E9C-101B-9397-08002B2CF9AE}" pid="28" name="Objective-Document Tag(s)">
    <vt:lpwstr/>
  </property>
  <property fmtid="{D5CDD505-2E9C-101B-9397-08002B2CF9AE}" pid="29" name="Objective-Shared By">
    <vt:lpwstr/>
  </property>
  <property fmtid="{D5CDD505-2E9C-101B-9397-08002B2CF9AE}" pid="30" name="Objective-Current Approver">
    <vt:lpwstr/>
  </property>
  <property fmtid="{D5CDD505-2E9C-101B-9397-08002B2CF9AE}" pid="31" name="Objective-Comment">
    <vt:lpwstr/>
  </property>
  <property fmtid="{D5CDD505-2E9C-101B-9397-08002B2CF9AE}" pid="32" name="Objective-Security Classification [system]">
    <vt:lpwstr>UNCLASSIFIED</vt:lpwstr>
  </property>
  <property fmtid="{D5CDD505-2E9C-101B-9397-08002B2CF9AE}" pid="33" name="Objective-DLM [system]">
    <vt:lpwstr>No Impact</vt:lpwstr>
  </property>
  <property fmtid="{D5CDD505-2E9C-101B-9397-08002B2CF9AE}" pid="34" name="Objective-Vital Record [system]">
    <vt:lpwstr>No</vt:lpwstr>
  </property>
  <property fmtid="{D5CDD505-2E9C-101B-9397-08002B2CF9AE}" pid="35" name="Objective-Current Approver [system]">
    <vt:lpwstr/>
  </property>
  <property fmtid="{D5CDD505-2E9C-101B-9397-08002B2CF9AE}" pid="36" name="Objective-Approval Status [system]">
    <vt:lpwstr/>
  </property>
  <property fmtid="{D5CDD505-2E9C-101B-9397-08002B2CF9AE}" pid="37" name="Objective-Approval History [system]">
    <vt:lpwstr/>
  </property>
  <property fmtid="{D5CDD505-2E9C-101B-9397-08002B2CF9AE}" pid="38" name="Objective-Document Tag(s) [system]">
    <vt:lpwstr/>
  </property>
  <property fmtid="{D5CDD505-2E9C-101B-9397-08002B2CF9AE}" pid="39" name="Objective-Connect Creator [system]">
    <vt:lpwstr/>
  </property>
  <property fmtid="{D5CDD505-2E9C-101B-9397-08002B2CF9AE}" pid="40" name="Objective-Shared By [system]">
    <vt:lpwstr/>
  </property>
</Properties>
</file>